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Google Drive\Projetos Felipe Barcelos\Prefeitura Municipal de Papagaios - Secretário\Campo Recanto do Sabia\Arquivos Para Licitação\"/>
    </mc:Choice>
  </mc:AlternateContent>
  <xr:revisionPtr revIDLastSave="0" documentId="13_ncr:1_{B63F0165-F843-46B0-94AD-4472A9CD3E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ILHA" sheetId="11" r:id="rId1"/>
    <sheet name="CRONOGRAMA" sheetId="13" r:id="rId2"/>
    <sheet name="COMPOSIÇÃO BDI" sheetId="12" r:id="rId3"/>
    <sheet name="COMPOSIÇÃO CABO DE ALUMÍNIO" sheetId="15" r:id="rId4"/>
  </sheets>
  <externalReferences>
    <externalReference r:id="rId5"/>
  </externalReferences>
  <definedNames>
    <definedName name="_xlnm.Print_Area" localSheetId="0">PLANILHA!$A$1:$AM$52</definedName>
    <definedName name="_xlnm.Print_Titles" localSheetId="0">PLANILHA!$2:$29</definedName>
  </definedNames>
  <calcPr calcId="191029"/>
</workbook>
</file>

<file path=xl/calcChain.xml><?xml version="1.0" encoding="utf-8"?>
<calcChain xmlns="http://schemas.openxmlformats.org/spreadsheetml/2006/main">
  <c r="AE48" i="11" l="1"/>
  <c r="U46" i="11"/>
  <c r="AA46" i="11" s="1"/>
  <c r="U47" i="11"/>
  <c r="AA47" i="11" s="1"/>
  <c r="AA49" i="11"/>
  <c r="AE47" i="11"/>
  <c r="AE49" i="11"/>
  <c r="AH49" i="11" s="1"/>
  <c r="AE46" i="11"/>
  <c r="AA45" i="11"/>
  <c r="AE45" i="11"/>
  <c r="AH45" i="11" s="1"/>
  <c r="AA43" i="11"/>
  <c r="AE43" i="11"/>
  <c r="AH43" i="11" s="1"/>
  <c r="AA44" i="11"/>
  <c r="AE44" i="11"/>
  <c r="AH44" i="11" s="1"/>
  <c r="B11" i="13"/>
  <c r="AA32" i="11"/>
  <c r="AH32" i="11" s="1"/>
  <c r="U48" i="11" l="1"/>
  <c r="AA48" i="11" s="1"/>
  <c r="AH48" i="11"/>
  <c r="AH46" i="11"/>
  <c r="AH47" i="11"/>
  <c r="AE41" i="11"/>
  <c r="AH41" i="11" s="1"/>
  <c r="AA41" i="11"/>
  <c r="AE40" i="11"/>
  <c r="AH40" i="11" s="1"/>
  <c r="AA40" i="11"/>
  <c r="AA42" i="11" l="1"/>
  <c r="AE42" i="11"/>
  <c r="AH42" i="11" s="1"/>
  <c r="AA50" i="11"/>
  <c r="AE50" i="11"/>
  <c r="AH50" i="11" s="1"/>
  <c r="AE36" i="11" l="1"/>
  <c r="AE33" i="11"/>
  <c r="AE31" i="11"/>
  <c r="AA33" i="11" l="1"/>
  <c r="AH33" i="11"/>
  <c r="AE38" i="11" l="1"/>
  <c r="AE37" i="11"/>
  <c r="AH37" i="11" s="1"/>
  <c r="AH31" i="11" l="1"/>
  <c r="AH34" i="11" s="1"/>
  <c r="D10" i="13" s="1"/>
  <c r="AE39" i="11" l="1"/>
  <c r="AH39" i="11" s="1"/>
  <c r="AH36" i="11"/>
  <c r="G10" i="13" l="1"/>
  <c r="E10" i="13"/>
  <c r="O42" i="12"/>
  <c r="I50" i="12" l="1"/>
  <c r="I49" i="12"/>
  <c r="A45" i="12"/>
  <c r="A46" i="12" s="1"/>
  <c r="C44" i="12"/>
  <c r="I42" i="12"/>
  <c r="A39" i="12"/>
  <c r="C39" i="12" s="1"/>
  <c r="C38" i="12"/>
  <c r="I35" i="12"/>
  <c r="M32" i="12"/>
  <c r="I29" i="12"/>
  <c r="A28" i="12"/>
  <c r="A29" i="12" s="1"/>
  <c r="C27" i="12"/>
  <c r="N24" i="12"/>
  <c r="N26" i="12" s="1"/>
  <c r="M22" i="12"/>
  <c r="I22" i="12"/>
  <c r="A22" i="12"/>
  <c r="A23" i="12" s="1"/>
  <c r="C23" i="12" s="1"/>
  <c r="M21" i="12"/>
  <c r="I21" i="12"/>
  <c r="C21" i="12"/>
  <c r="M20" i="12"/>
  <c r="I20" i="12"/>
  <c r="M19" i="12"/>
  <c r="I19" i="12"/>
  <c r="M18" i="12"/>
  <c r="I18" i="12"/>
  <c r="A15" i="12"/>
  <c r="C15" i="12" s="1"/>
  <c r="C14" i="12"/>
  <c r="C13" i="12"/>
  <c r="C12" i="12"/>
  <c r="O25" i="12"/>
  <c r="C11" i="12"/>
  <c r="C10" i="12"/>
  <c r="C9" i="12"/>
  <c r="C8" i="12"/>
  <c r="K5" i="12"/>
  <c r="A3" i="12"/>
  <c r="A4" i="12" s="1"/>
  <c r="C2" i="12"/>
  <c r="C22" i="12" l="1"/>
  <c r="C3" i="12"/>
  <c r="C28" i="12"/>
  <c r="C45" i="12"/>
  <c r="N27" i="12"/>
  <c r="A5" i="12"/>
  <c r="C4" i="12"/>
  <c r="A32" i="12"/>
  <c r="C29" i="12"/>
  <c r="A47" i="12"/>
  <c r="C46" i="12"/>
  <c r="A17" i="12"/>
  <c r="A24" i="12"/>
  <c r="L32" i="12"/>
  <c r="M33" i="12"/>
  <c r="I37" i="12"/>
  <c r="A40" i="12"/>
  <c r="C17" i="12" l="1"/>
  <c r="A18" i="12"/>
  <c r="A48" i="12"/>
  <c r="C47" i="12"/>
  <c r="C32" i="12"/>
  <c r="A33" i="12"/>
  <c r="A6" i="12"/>
  <c r="C5" i="12"/>
  <c r="C40" i="12"/>
  <c r="A41" i="12"/>
  <c r="A25" i="12"/>
  <c r="C24" i="12"/>
  <c r="C41" i="12" l="1"/>
  <c r="A42" i="12"/>
  <c r="A34" i="12"/>
  <c r="C34" i="12" s="1"/>
  <c r="C33" i="12"/>
  <c r="A19" i="12"/>
  <c r="C18" i="12"/>
  <c r="A26" i="12"/>
  <c r="C26" i="12" s="1"/>
  <c r="C25" i="12"/>
  <c r="A7" i="12"/>
  <c r="C7" i="12" s="1"/>
  <c r="R22" i="12" s="1"/>
  <c r="C6" i="12"/>
  <c r="Q18" i="12" s="1"/>
  <c r="A49" i="12"/>
  <c r="C49" i="12" s="1"/>
  <c r="C48" i="12"/>
  <c r="A20" i="12" l="1"/>
  <c r="C20" i="12" s="1"/>
  <c r="C19" i="12"/>
  <c r="Q26" i="12"/>
  <c r="P21" i="12"/>
  <c r="R18" i="12"/>
  <c r="R26" i="12"/>
  <c r="P26" i="12"/>
  <c r="R21" i="12"/>
  <c r="Q19" i="12"/>
  <c r="Q20" i="12"/>
  <c r="P19" i="12"/>
  <c r="Q22" i="12"/>
  <c r="P20" i="12"/>
  <c r="R19" i="12"/>
  <c r="Q21" i="12"/>
  <c r="P22" i="12"/>
  <c r="R20" i="12"/>
  <c r="P18" i="12"/>
  <c r="C42" i="12"/>
  <c r="A43" i="12"/>
  <c r="C43" i="12" s="1"/>
  <c r="O26" i="12" l="1"/>
  <c r="O27" i="12" s="1"/>
  <c r="AA30" i="11"/>
  <c r="AE30" i="11"/>
  <c r="AH30" i="11"/>
  <c r="AA39" i="11" l="1"/>
  <c r="AA31" i="11"/>
  <c r="AA34" i="11" s="1"/>
  <c r="AA37" i="11" l="1"/>
  <c r="AH38" i="11"/>
  <c r="AH51" i="11" s="1"/>
  <c r="AA38" i="11" l="1"/>
  <c r="AA36" i="11"/>
  <c r="AH52" i="11" l="1"/>
  <c r="D12" i="13"/>
  <c r="AA51" i="11"/>
  <c r="AA52" i="11" s="1"/>
  <c r="F12" i="13" l="1"/>
  <c r="G12" i="13" s="1"/>
  <c r="D22" i="13"/>
  <c r="D9" i="13" l="1"/>
  <c r="D11" i="13"/>
  <c r="G11" i="13" l="1"/>
  <c r="F21" i="13"/>
  <c r="F22" i="13" s="1"/>
  <c r="D21" i="13"/>
  <c r="G9" i="13"/>
  <c r="E21" i="13"/>
  <c r="E22" i="13" l="1"/>
  <c r="G22" i="13" s="1"/>
  <c r="G21" i="13"/>
</calcChain>
</file>

<file path=xl/sharedStrings.xml><?xml version="1.0" encoding="utf-8"?>
<sst xmlns="http://schemas.openxmlformats.org/spreadsheetml/2006/main" count="313" uniqueCount="194">
  <si>
    <t>ITEM</t>
  </si>
  <si>
    <t>CÓDIGO</t>
  </si>
  <si>
    <t>2.1</t>
  </si>
  <si>
    <t>2.2</t>
  </si>
  <si>
    <t>m²</t>
  </si>
  <si>
    <t>2.3</t>
  </si>
  <si>
    <t xml:space="preserve">ORÇAMENTO DISCRIMINATIVO </t>
  </si>
  <si>
    <t>Proponente</t>
  </si>
  <si>
    <t>Nº do Contrato de Repasse - OGU</t>
  </si>
  <si>
    <t>Empreendimento ( Nome/Apelido)</t>
  </si>
  <si>
    <t>Município</t>
  </si>
  <si>
    <t>UF</t>
  </si>
  <si>
    <t>MG</t>
  </si>
  <si>
    <t>Programa</t>
  </si>
  <si>
    <t>Gestor (Ministério)</t>
  </si>
  <si>
    <t>Data-Base (mês de referência)</t>
  </si>
  <si>
    <t>Regime de execução das obras:</t>
  </si>
  <si>
    <t>Composição de BDI Adotada</t>
  </si>
  <si>
    <t>BDI Proposto:</t>
  </si>
  <si>
    <t>Garantia (G)</t>
  </si>
  <si>
    <t xml:space="preserve">De </t>
  </si>
  <si>
    <t>até</t>
  </si>
  <si>
    <t xml:space="preserve">  Garantia:</t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</si>
  <si>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</si>
  <si>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</si>
  <si>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</si>
  <si>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</si>
  <si>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</si>
  <si>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</si>
  <si>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</si>
  <si>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</si>
  <si>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Tributos (T)</t>
  </si>
  <si>
    <t xml:space="preserve">  Tributos:</t>
  </si>
  <si>
    <t>DESCRIÇÃO DOS SERVIÇOS</t>
  </si>
  <si>
    <t xml:space="preserve">UN </t>
  </si>
  <si>
    <t>QUANT</t>
  </si>
  <si>
    <t>VALORES (R$)</t>
  </si>
  <si>
    <t>tributos</t>
  </si>
  <si>
    <t>FONTE</t>
  </si>
  <si>
    <t>CUSTO</t>
  </si>
  <si>
    <t>PREÇO</t>
  </si>
  <si>
    <t>iss</t>
  </si>
  <si>
    <t>UNITÁRIO</t>
  </si>
  <si>
    <t>TOTAL ITEM</t>
  </si>
  <si>
    <t>pis</t>
  </si>
  <si>
    <t>cofins</t>
  </si>
  <si>
    <t>SINAPI</t>
  </si>
  <si>
    <t>SUBTOTAL 1</t>
  </si>
  <si>
    <t>SUBTOTAL 2</t>
  </si>
  <si>
    <t>TOTAIS:</t>
  </si>
  <si>
    <t>CUSTO:</t>
  </si>
  <si>
    <t>PREÇO:</t>
  </si>
  <si>
    <t>SERVIÇOS PRELIMINARES</t>
  </si>
  <si>
    <t>2.4</t>
  </si>
  <si>
    <t>PREFEITURA MUNICIPAL DE PAPAGAIOS</t>
  </si>
  <si>
    <t>MIN</t>
  </si>
  <si>
    <t>MED</t>
  </si>
  <si>
    <t>MAX</t>
  </si>
  <si>
    <t>Construção e Reforma de Edifícios</t>
  </si>
  <si>
    <t>AC</t>
  </si>
  <si>
    <t>SG</t>
  </si>
  <si>
    <t>R</t>
  </si>
  <si>
    <t>Nº TC/CR</t>
  </si>
  <si>
    <t>PROPONENTE / TOMADOR</t>
  </si>
  <si>
    <t>DF</t>
  </si>
  <si>
    <t>L</t>
  </si>
  <si>
    <t>BDI PAD</t>
  </si>
  <si>
    <t>OBJETO</t>
  </si>
  <si>
    <t>Construção de Praças Urbanas, Rodovias, Ferrovias e recapeamento e pavimentação de vias urbanas</t>
  </si>
  <si>
    <t>TIPO DE OBRA DO EMPREENDIMENTO</t>
  </si>
  <si>
    <t>DESONERAÇÃO</t>
  </si>
  <si>
    <t>Conforme legislação tributária municipal, definir estimativa de percentual da base de cálculo para o ISS:</t>
  </si>
  <si>
    <t>Construção de Redes de Abastecimento de Água, Coleta de Esgoto</t>
  </si>
  <si>
    <t>Sobre a base de cálculo, definir a respectiva alíquota do ISS (entre 2% e 5%):</t>
  </si>
  <si>
    <t>Itens</t>
  </si>
  <si>
    <t>Siglas</t>
  </si>
  <si>
    <t>% Adotado</t>
  </si>
  <si>
    <t>Situação</t>
  </si>
  <si>
    <t>1º Quartil</t>
  </si>
  <si>
    <t>Médio</t>
  </si>
  <si>
    <t>3º Quartil</t>
  </si>
  <si>
    <t>-</t>
  </si>
  <si>
    <t>Construção e Manutenção de Estações e Redes de Distribuição de Energia Elétrica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</si>
  <si>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</si>
  <si>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</si>
  <si>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</si>
  <si>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</si>
  <si>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</si>
  <si>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</si>
  <si>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
(Fórmula Acórdão TCU)</t>
  </si>
  <si>
    <t>Obras Portuárias, Marítimas e Fluviais</t>
  </si>
  <si>
    <t>BDI COM desoneração</t>
  </si>
  <si>
    <t>BDI DES</t>
  </si>
  <si>
    <t>Anexo: Relatório Técnico Circunstanciado justificando a adoção do percentual de cada parcela do BDI.</t>
  </si>
  <si>
    <t>Os valores de BDI foram calculados com o emprego da fórmula:</t>
  </si>
  <si>
    <t xml:space="preserve"> - 1</t>
  </si>
  <si>
    <t>Fornecimento de Materiais e Equipamentos (aquisição indireta - em conjunto com licitação de obras)</t>
  </si>
  <si>
    <t>Observações:</t>
  </si>
  <si>
    <t>Local</t>
  </si>
  <si>
    <t>Data</t>
  </si>
  <si>
    <t>Estudos e Projetos, Planos e Gerenciamento e outros correlatos</t>
  </si>
  <si>
    <t>K1</t>
  </si>
  <si>
    <t>K2</t>
  </si>
  <si>
    <t/>
  </si>
  <si>
    <t>Responsável Técnico</t>
  </si>
  <si>
    <t>Responsável Tomador</t>
  </si>
  <si>
    <t>Nome:</t>
  </si>
  <si>
    <t>K3</t>
  </si>
  <si>
    <t>Título:</t>
  </si>
  <si>
    <t>Cargo:</t>
  </si>
  <si>
    <t>QUADRO COMPOSIÇÃO BDI</t>
  </si>
  <si>
    <t>EMPREITADA POR PREÇO GLOBAL</t>
  </si>
  <si>
    <t>CRONOGRAMA FÍSICO-FINANCEIRO</t>
  </si>
  <si>
    <t xml:space="preserve">PREFEITURA:MUNICIPAL DE PAPAGAIOS </t>
  </si>
  <si>
    <t>ETAPAS/DESCRIÇÃO</t>
  </si>
  <si>
    <t>FÍSICO/ FINANCEIRO</t>
  </si>
  <si>
    <t>TOTAL  ETAPAS</t>
  </si>
  <si>
    <t>MÊS 1</t>
  </si>
  <si>
    <t>MÊS 2</t>
  </si>
  <si>
    <t>Físico %</t>
  </si>
  <si>
    <t>Financeiro</t>
  </si>
  <si>
    <t>TOTAL</t>
  </si>
  <si>
    <t>KARINA ERICA DE OLIVEIRA</t>
  </si>
  <si>
    <t xml:space="preserve">ARQUITETA </t>
  </si>
  <si>
    <t>A42262-2</t>
  </si>
  <si>
    <t>1.2</t>
  </si>
  <si>
    <t>NÃO</t>
  </si>
  <si>
    <t>Rislâine de Faria Cançado</t>
  </si>
  <si>
    <t>PREFEITA MUNICIPAL</t>
  </si>
  <si>
    <t>1.1</t>
  </si>
  <si>
    <t>TXKM</t>
  </si>
  <si>
    <t>M</t>
  </si>
  <si>
    <t>2.6</t>
  </si>
  <si>
    <t>2.7</t>
  </si>
  <si>
    <t>2.8</t>
  </si>
  <si>
    <t>1090964-87</t>
  </si>
  <si>
    <r>
      <t xml:space="preserve"> BDI =</t>
    </r>
    <r>
      <rPr>
        <u/>
        <sz val="12"/>
        <rFont val="Arial"/>
        <family val="2"/>
      </rPr>
      <t xml:space="preserve"> (1+AC+R+G)X(1+DF)x(1+L)</t>
    </r>
    <r>
      <rPr>
        <sz val="12"/>
        <rFont val="Arial"/>
        <family val="2"/>
      </rPr>
      <t xml:space="preserve">)  -1
                                  1-T
  </t>
    </r>
    <r>
      <rPr>
        <u/>
        <sz val="12"/>
        <rFont val="Arial"/>
        <family val="2"/>
      </rPr>
      <t>Observação</t>
    </r>
    <r>
      <rPr>
        <sz val="12"/>
        <rFont val="Arial"/>
        <family val="2"/>
      </rPr>
      <t>:
  i)   Composição do BDI, intervalos admissíveis e Fórmula de cálculo nos termos do Acórdão 2622/2013  do TCU.</t>
    </r>
  </si>
  <si>
    <t>Papagaios/MG</t>
  </si>
  <si>
    <t>2.5</t>
  </si>
  <si>
    <t>Iluminação Campo de Futebol Recanto do Sabiá</t>
  </si>
  <si>
    <t>Emenda impositiva</t>
  </si>
  <si>
    <t>ED-16660</t>
  </si>
  <si>
    <t>SEINFRA</t>
  </si>
  <si>
    <t>PLACA DE OBRA EM CHAPA
GALVANIZADA ENRIJECIDA, PLOTADA COM
ADESIVO VINÍLICO, FIXADA COM REBITES 4,
8X40MM, EM ESTRUTURA METÁLICA DE METALON
20X20MM, ESP. 1,25MM, EXCLUSIVE SUPORTE EM
EUCALIPTO - PADRÃO GOVERNO DE MINAS
GERAIS (FORNECIMENTO/FABRICAÇÃO)
1,0000000 m2 233,8100 233,8100
ED-16671 FIXAÇÃO DE PLACA DE OBRA EM
SUPORTE DE EUCALIPTO AUTOCLAVADO,
INCLUSIVE PINTURA LÁTEX (PVA) EM SUPERFÍCIE
DE MADEIRA, EM DUAS (2) DEMÃOS E ESCAVAÇÃO
(MONTAGEM)</t>
  </si>
  <si>
    <t>INSTALAÇÃO ELÉTRICA</t>
  </si>
  <si>
    <t>TRANSPORTE COM CAMINHÃO CARROCERIA COM GUINDAUTE (MUNCK), MOMENTO MÁXIMO DE CARGA 11,7TM EM VIA URBANA PAVIMENTADA, DICIONAL PARA DMT EXCEDENTE A 30KM</t>
  </si>
  <si>
    <t>CARGA, MANOBRA E DESCARGA DE POSTE DE CONCRETO EM CAMINHÃO CARROCERIA COM GUINDAUTO (MUNCK) 11,7 ATM</t>
  </si>
  <si>
    <t>T</t>
  </si>
  <si>
    <t xml:space="preserve"> POSTE DE CONCRETO, ALTURA LIVRE MÍNIMA DE 9M, COM 8
REFLETORES DE LED, POTÊNCIA DE 300W CADA, INCLUSIVE
FIAÇÃO, SUPORTE E FUNDAÇÃO</t>
  </si>
  <si>
    <t>ED-22382</t>
  </si>
  <si>
    <t>TRANSPORTE COM CAMINHÃO CARROCERIA COM GUINDAUTO (MUNCK), MOMENTO MÁXIMO DE CARGA 11,7
 TM, EM VIA URBANA PAVIMENTADA, DMT ATÉ 30KM (UNIDADE: TXKM). AF_07/2020</t>
  </si>
  <si>
    <t>COTAÇÃO/ COMPOSIÇÃO</t>
  </si>
  <si>
    <t>ED-50392</t>
  </si>
  <si>
    <t>MOBILIZAÇÃO E DESMOBILIZAÇÃO DE OBRA EM CENTRO URBANO OU REGIÃO LIMÍTROFE COM VALOR ATÉ 1.000.000,00</t>
  </si>
  <si>
    <t>%</t>
  </si>
  <si>
    <t>EMENDA IMPOSITIVA</t>
  </si>
  <si>
    <t>SINAPI 08-2025/ SETOP 07-2025</t>
  </si>
  <si>
    <t>ENTRADA DE ENERGIA AÉREA, TIPO C5 PADRÃO CEMIG, CARGA
INSTALADA DE 38,1KVA ATÉ 47 KVA, TRIFÁSICO, COM SAÍDA
SUBTERRÂNEA, INCLUSIVE POSTE, CAIXA PARA MEDIDOR,
DISJUNTOR, BARRAMENTO, ATERRAMENTO E ACESSÓRIOS</t>
  </si>
  <si>
    <t>ED-20585</t>
  </si>
  <si>
    <t xml:space="preserve">CABO DE COBRE FLEXÍVEL, CLASSE 5, ISOLAMENTO TIPO EPR/ HEPR, NÃO HALOGENADO, ANTICHAMA, TERMOFIXO, UNIPOLAR, SEÇÃO 50MM², 90ºC, 0,6/1 KV
</t>
  </si>
  <si>
    <t>ED-49010</t>
  </si>
  <si>
    <t xml:space="preserve">
CABO ALUMÍNIO QUADRUPLEX COLORIDO 3X50MM² + NEUTRO NÚ 50MM²</t>
  </si>
  <si>
    <t>https://www.eletricabichuette.com.br/cabo-multiplex-quadruplex-5000mm2-neutro-isolado-ptvmazcz/p?srsltid=AfmBOorSDhOkLaqcBawXu2Vyl4TS6mcq0dy76eSfAzlAl4DY-N4Pg9Dq7Tg</t>
  </si>
  <si>
    <t>https://loja.conduscamp.com.br/produto/cabo-aluminio-quadruplex-colorido-3x5000-mm%c2%b2-neutro-nu-5000-mm%c2%b2/5415630?idSku=5423941</t>
  </si>
  <si>
    <t>https://gigamaxcondutores.com.br/loja/fios-e-cabos/eletrica/aluminio/quadruplex-isolado/cabo-aluminio-quadruplex-isolado/?srsltid=AfmBOoogUqqCTNM9UIxaKYW199SCXOhkGPT3WansH_ca8bkBerjnrRH0VLU</t>
  </si>
  <si>
    <t>ED-49313</t>
  </si>
  <si>
    <t>ELETRODUTO DE PVC RÍGIDO ROSCÁVEL, DN 60MM (2.1/2"), INCLUSIVE CONEXÕES, SUPORTES E FIXAÇÃO</t>
  </si>
  <si>
    <t>QUADRO DE DISTRIBUIÇÃO DE SOBREPOR EM
CHAPA, PARA 34 DISJUNTORES DIN, INCLUSIVE BARRAMENTOS
NEUTRO/TERRA E BARRAMENTO TRIFÁSICO DE 150A</t>
  </si>
  <si>
    <t>ED-14196</t>
  </si>
  <si>
    <t>ED-34493</t>
  </si>
  <si>
    <t>DISJUNTOR TRIPOLAR TIPO DIN, CORRENTE
NOMINAL DE 63A, FORNECIMENTO E INSTALAÇÃO, INCLUSIVE
TERMINAL ILHÓS</t>
  </si>
  <si>
    <t>ED-34498</t>
  </si>
  <si>
    <t xml:space="preserve">DISJUNTOR TRIPOLAR TIPO DIN, CORRENTE
NOMINAL DE 125A, FORNECIMENTO E INSTALAÇÃO, INCLUSIVE
TERMINAL DE COMPRESSÃO
</t>
  </si>
  <si>
    <t>ED-16601</t>
  </si>
  <si>
    <t>DISPOSITIVO DE PROTEÇÃO CONTRA SURTOS (
DPS) MONOPOLAR, CORRENTE DE INTERRUPÇÃO 45KA, INCLUSIVE
TERMINAL ILHÓS</t>
  </si>
  <si>
    <t>LOCAL: RECANTO DO SABIÁ - VARGEM GRANDE</t>
  </si>
  <si>
    <t>OBRA: ILUMINAÇÃO DO CAMPO RECANTO DO SABIÁ</t>
  </si>
  <si>
    <t>ED-48700</t>
  </si>
  <si>
    <t>ATERRAMENTO COM HASTE DE COBRE, TIPO COPPERWELD,
 DIÂMETRO DE  5/8", COMPRIMENTO DE 240CM, EXCLUSIVE CABO
 E CAIXA PARA ATERRAMENTO, INCLUSIVE GRAMPO PARA HASTE
 E INSTALAÇÃO</t>
  </si>
  <si>
    <t>CAIXA PRÉ MOLDADA PARA ATERRAMENTO COM TAMPA EM
 CONCRETO, DIMENSÃO (25X25X50)CM, INCLUSIVE ESCAVAÇÃO,
 REATERRO E BOTA-FORA</t>
  </si>
  <si>
    <t>ED-48702</t>
  </si>
  <si>
    <t>ED-13931</t>
  </si>
  <si>
    <t>CABO DE COBRE NU #16MM2 - 7 FIOSX1,70MM, PARA ELEMENTOS
 DE CAPTAÇÃO/ANEL DE CINTAMENTO (SPDA), INCLUSIVE
 PRESILHA DE FIXAÇÃO</t>
  </si>
  <si>
    <t>M³</t>
  </si>
  <si>
    <t>ED-51107</t>
  </si>
  <si>
    <t>ESCAVAÇÃO MANUAL DE VALA COM
 PROFUNDIDADE MENOR OU IGUAL A 1,5M,
 INCLUSIVE DESCARGA LATERAL</t>
  </si>
  <si>
    <t>1.3</t>
  </si>
  <si>
    <t>2.9</t>
  </si>
  <si>
    <t>2.10</t>
  </si>
  <si>
    <t>2.11</t>
  </si>
  <si>
    <t>2.12</t>
  </si>
  <si>
    <t>2.13</t>
  </si>
  <si>
    <t>2.14</t>
  </si>
  <si>
    <t>2.15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</si>
</sst>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[$-416]mmmm\-yyyy;@"/>
    <numFmt numFmtId="167" formatCode="#,##0.00_ ;\-#,##0.00\ "/>
    <numFmt numFmtId="168" formatCode="General;General;"/>
    <numFmt numFmtId="169" formatCode="[$-F800]dddd\,\ mmmm\ dd\,\ yyyy"/>
    <numFmt numFmtId="170" formatCode="dd\ &quot;de&quot;\ mmmm\ &quot;de&quot;\ yyyy"/>
    <numFmt numFmtId="171" formatCode="&quot;R$ &quot;#,##0.00"/>
    <numFmt numFmtId="172" formatCode="#,##0.000"/>
  </numFmts>
  <fonts count="3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4"/>
      <name val="Arial"/>
      <family val="2"/>
    </font>
    <font>
      <sz val="9"/>
      <color rgb="FFFF0000"/>
      <name val="Arial"/>
      <family val="2"/>
    </font>
    <font>
      <sz val="11"/>
      <name val="Arial"/>
      <family val="2"/>
    </font>
    <font>
      <b/>
      <sz val="10"/>
      <color indexed="12"/>
      <name val="Arial"/>
      <family val="2"/>
    </font>
    <font>
      <b/>
      <u/>
      <sz val="15"/>
      <name val="Arial"/>
      <family val="2"/>
    </font>
    <font>
      <sz val="11"/>
      <color indexed="9"/>
      <name val="Arial"/>
      <family val="2"/>
    </font>
    <font>
      <b/>
      <sz val="11"/>
      <color indexed="12"/>
      <name val="Arial"/>
      <family val="2"/>
    </font>
    <font>
      <b/>
      <sz val="18"/>
      <name val="Arial"/>
      <family val="2"/>
    </font>
    <font>
      <sz val="10.5"/>
      <name val="Arial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</font>
    <font>
      <b/>
      <sz val="9"/>
      <color rgb="FFFF0000"/>
      <name val="Arial"/>
      <family val="2"/>
    </font>
    <font>
      <b/>
      <sz val="12"/>
      <color indexed="9"/>
      <name val="Arial"/>
      <family val="2"/>
    </font>
    <font>
      <u/>
      <sz val="12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4D4D4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</cellStyleXfs>
  <cellXfs count="424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8" xfId="0" applyFont="1" applyBorder="1" applyAlignment="1">
      <alignment horizontal="center" vertical="center"/>
    </xf>
    <xf numFmtId="10" fontId="7" fillId="0" borderId="8" xfId="3" applyNumberFormat="1" applyFont="1" applyBorder="1" applyAlignment="1" applyProtection="1">
      <alignment vertical="center"/>
    </xf>
    <xf numFmtId="4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43" fontId="7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1" fillId="0" borderId="0" xfId="8"/>
    <xf numFmtId="0" fontId="2" fillId="0" borderId="0" xfId="8" applyFont="1" applyAlignment="1">
      <alignment horizontal="center"/>
    </xf>
    <xf numFmtId="0" fontId="3" fillId="0" borderId="0" xfId="8" applyFont="1" applyAlignment="1">
      <alignment horizontal="center"/>
    </xf>
    <xf numFmtId="0" fontId="2" fillId="0" borderId="8" xfId="8" applyFont="1" applyBorder="1" applyAlignment="1">
      <alignment horizontal="center"/>
    </xf>
    <xf numFmtId="10" fontId="12" fillId="0" borderId="8" xfId="8" applyNumberFormat="1" applyFont="1" applyBorder="1" applyAlignment="1">
      <alignment horizontal="center"/>
    </xf>
    <xf numFmtId="0" fontId="13" fillId="0" borderId="0" xfId="8" applyFont="1"/>
    <xf numFmtId="0" fontId="2" fillId="0" borderId="0" xfId="8" applyFont="1"/>
    <xf numFmtId="0" fontId="2" fillId="0" borderId="8" xfId="8" applyFont="1" applyBorder="1" applyAlignment="1">
      <alignment horizontal="center" vertical="center" wrapText="1"/>
    </xf>
    <xf numFmtId="0" fontId="11" fillId="0" borderId="8" xfId="8" applyFont="1" applyBorder="1" applyAlignment="1">
      <alignment horizontal="center" vertical="center"/>
    </xf>
    <xf numFmtId="10" fontId="11" fillId="9" borderId="8" xfId="8" applyNumberFormat="1" applyFont="1" applyFill="1" applyBorder="1" applyAlignment="1" applyProtection="1">
      <alignment horizontal="center" vertical="center"/>
      <protection locked="0"/>
    </xf>
    <xf numFmtId="4" fontId="6" fillId="0" borderId="8" xfId="8" applyNumberFormat="1" applyFont="1" applyBorder="1" applyAlignment="1">
      <alignment horizontal="center" vertical="center"/>
    </xf>
    <xf numFmtId="10" fontId="11" fillId="0" borderId="8" xfId="8" applyNumberFormat="1" applyFont="1" applyBorder="1" applyAlignment="1">
      <alignment horizontal="center" vertical="center"/>
    </xf>
    <xf numFmtId="10" fontId="11" fillId="0" borderId="8" xfId="8" applyNumberFormat="1" applyFont="1" applyBorder="1" applyAlignment="1">
      <alignment horizontal="center" vertical="center" wrapText="1"/>
    </xf>
    <xf numFmtId="0" fontId="11" fillId="0" borderId="8" xfId="8" applyFont="1" applyBorder="1" applyAlignment="1">
      <alignment horizontal="center" vertical="center" wrapText="1"/>
    </xf>
    <xf numFmtId="4" fontId="6" fillId="0" borderId="8" xfId="8" applyNumberFormat="1" applyFont="1" applyBorder="1" applyAlignment="1">
      <alignment horizontal="center" vertical="center" wrapText="1"/>
    </xf>
    <xf numFmtId="0" fontId="14" fillId="0" borderId="0" xfId="8" applyFont="1" applyAlignment="1">
      <alignment horizontal="center" vertical="center" wrapText="1"/>
    </xf>
    <xf numFmtId="10" fontId="14" fillId="0" borderId="0" xfId="8" applyNumberFormat="1" applyFont="1" applyAlignment="1">
      <alignment horizontal="center" vertical="center"/>
    </xf>
    <xf numFmtId="4" fontId="6" fillId="0" borderId="0" xfId="8" applyNumberFormat="1" applyFont="1" applyAlignment="1">
      <alignment horizontal="center" vertical="center" wrapText="1"/>
    </xf>
    <xf numFmtId="0" fontId="16" fillId="0" borderId="8" xfId="8" applyFont="1" applyBorder="1" applyAlignment="1">
      <alignment horizontal="center" vertical="center"/>
    </xf>
    <xf numFmtId="0" fontId="1" fillId="0" borderId="0" xfId="8" applyAlignment="1">
      <alignment horizontal="center" vertical="top"/>
    </xf>
    <xf numFmtId="0" fontId="20" fillId="0" borderId="0" xfId="8" applyFont="1" applyAlignment="1">
      <alignment horizontal="center" vertical="top"/>
    </xf>
    <xf numFmtId="170" fontId="1" fillId="0" borderId="0" xfId="8" applyNumberFormat="1"/>
    <xf numFmtId="0" fontId="2" fillId="0" borderId="16" xfId="8" applyFont="1" applyBorder="1" applyAlignment="1">
      <alignment horizontal="left"/>
    </xf>
    <xf numFmtId="0" fontId="1" fillId="0" borderId="16" xfId="8" applyBorder="1"/>
    <xf numFmtId="0" fontId="11" fillId="0" borderId="0" xfId="8" applyFont="1"/>
    <xf numFmtId="0" fontId="2" fillId="0" borderId="0" xfId="11" applyFont="1" applyAlignment="1">
      <alignment horizontal="left" vertical="top"/>
    </xf>
    <xf numFmtId="0" fontId="7" fillId="6" borderId="6" xfId="0" applyFont="1" applyFill="1" applyBorder="1" applyAlignment="1">
      <alignment horizontal="left" vertical="center"/>
    </xf>
    <xf numFmtId="0" fontId="7" fillId="6" borderId="7" xfId="0" applyFont="1" applyFill="1" applyBorder="1" applyAlignment="1">
      <alignment horizontal="left" vertical="center"/>
    </xf>
    <xf numFmtId="0" fontId="7" fillId="6" borderId="7" xfId="0" applyFont="1" applyFill="1" applyBorder="1" applyAlignment="1">
      <alignment vertical="center"/>
    </xf>
    <xf numFmtId="0" fontId="7" fillId="6" borderId="12" xfId="0" applyFont="1" applyFill="1" applyBorder="1" applyAlignment="1">
      <alignment vertical="center"/>
    </xf>
    <xf numFmtId="0" fontId="8" fillId="10" borderId="1" xfId="0" applyFont="1" applyFill="1" applyBorder="1"/>
    <xf numFmtId="0" fontId="8" fillId="10" borderId="0" xfId="0" applyFont="1" applyFill="1" applyAlignment="1">
      <alignment wrapText="1"/>
    </xf>
    <xf numFmtId="0" fontId="7" fillId="10" borderId="1" xfId="0" applyFont="1" applyFill="1" applyBorder="1"/>
    <xf numFmtId="0" fontId="7" fillId="10" borderId="0" xfId="0" applyFont="1" applyFill="1" applyAlignment="1">
      <alignment wrapText="1"/>
    </xf>
    <xf numFmtId="4" fontId="10" fillId="0" borderId="0" xfId="5" applyNumberFormat="1" applyFont="1" applyFill="1" applyBorder="1" applyAlignment="1" applyProtection="1">
      <alignment horizontal="right" vertical="center"/>
      <protection locked="0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6" xfId="0" applyFont="1" applyBorder="1"/>
    <xf numFmtId="0" fontId="22" fillId="10" borderId="7" xfId="0" applyFont="1" applyFill="1" applyBorder="1"/>
    <xf numFmtId="0" fontId="22" fillId="10" borderId="7" xfId="0" applyFont="1" applyFill="1" applyBorder="1" applyAlignment="1">
      <alignment wrapText="1"/>
    </xf>
    <xf numFmtId="0" fontId="22" fillId="10" borderId="1" xfId="0" applyFont="1" applyFill="1" applyBorder="1"/>
    <xf numFmtId="0" fontId="22" fillId="10" borderId="0" xfId="0" applyFont="1" applyFill="1"/>
    <xf numFmtId="0" fontId="22" fillId="10" borderId="0" xfId="0" applyFont="1" applyFill="1" applyAlignment="1">
      <alignment wrapText="1"/>
    </xf>
    <xf numFmtId="0" fontId="5" fillId="10" borderId="45" xfId="0" applyFont="1" applyFill="1" applyBorder="1" applyAlignment="1">
      <alignment horizontal="center" vertical="center"/>
    </xf>
    <xf numFmtId="0" fontId="5" fillId="10" borderId="46" xfId="0" applyFont="1" applyFill="1" applyBorder="1" applyAlignment="1">
      <alignment horizontal="center" vertical="center"/>
    </xf>
    <xf numFmtId="0" fontId="5" fillId="10" borderId="46" xfId="0" applyFont="1" applyFill="1" applyBorder="1" applyAlignment="1">
      <alignment horizontal="center" vertical="center" wrapText="1"/>
    </xf>
    <xf numFmtId="49" fontId="23" fillId="10" borderId="69" xfId="0" applyNumberFormat="1" applyFont="1" applyFill="1" applyBorder="1" applyAlignment="1">
      <alignment horizontal="center" vertical="top" wrapText="1"/>
    </xf>
    <xf numFmtId="49" fontId="23" fillId="10" borderId="13" xfId="0" applyNumberFormat="1" applyFont="1" applyFill="1" applyBorder="1" applyAlignment="1">
      <alignment horizontal="center" vertical="top" wrapText="1"/>
    </xf>
    <xf numFmtId="49" fontId="23" fillId="10" borderId="72" xfId="0" applyNumberFormat="1" applyFont="1" applyFill="1" applyBorder="1" applyAlignment="1">
      <alignment horizontal="center" vertical="top" wrapText="1"/>
    </xf>
    <xf numFmtId="49" fontId="24" fillId="10" borderId="27" xfId="0" applyNumberFormat="1" applyFont="1" applyFill="1" applyBorder="1" applyAlignment="1">
      <alignment horizontal="center" vertical="top" wrapText="1"/>
    </xf>
    <xf numFmtId="49" fontId="24" fillId="10" borderId="73" xfId="0" applyNumberFormat="1" applyFont="1" applyFill="1" applyBorder="1" applyAlignment="1">
      <alignment horizontal="center" vertical="top" wrapText="1"/>
    </xf>
    <xf numFmtId="0" fontId="5" fillId="10" borderId="77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26" fillId="0" borderId="0" xfId="0" applyNumberFormat="1" applyFont="1" applyAlignment="1">
      <alignment vertical="center"/>
    </xf>
    <xf numFmtId="0" fontId="7" fillId="6" borderId="7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vertical="center"/>
    </xf>
    <xf numFmtId="0" fontId="21" fillId="6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21" fillId="6" borderId="0" xfId="0" applyFont="1" applyFill="1" applyAlignment="1">
      <alignment horizontal="center" vertical="center"/>
    </xf>
    <xf numFmtId="0" fontId="21" fillId="6" borderId="5" xfId="0" applyFont="1" applyFill="1" applyBorder="1" applyAlignment="1">
      <alignment vertical="center"/>
    </xf>
    <xf numFmtId="0" fontId="27" fillId="2" borderId="0" xfId="0" applyFont="1" applyFill="1" applyAlignment="1">
      <alignment horizontal="center" vertical="center"/>
    </xf>
    <xf numFmtId="0" fontId="3" fillId="6" borderId="1" xfId="0" applyFont="1" applyFill="1" applyBorder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0" fontId="21" fillId="6" borderId="0" xfId="0" applyFont="1" applyFill="1" applyAlignment="1">
      <alignment horizontal="centerContinuous" vertical="center"/>
    </xf>
    <xf numFmtId="0" fontId="21" fillId="6" borderId="1" xfId="0" applyFont="1" applyFill="1" applyBorder="1" applyAlignment="1">
      <alignment horizontal="left" vertical="center"/>
    </xf>
    <xf numFmtId="0" fontId="21" fillId="6" borderId="0" xfId="0" applyFont="1" applyFill="1" applyAlignment="1">
      <alignment horizontal="left" vertical="center"/>
    </xf>
    <xf numFmtId="0" fontId="21" fillId="6" borderId="10" xfId="0" applyFont="1" applyFill="1" applyBorder="1" applyAlignment="1">
      <alignment vertical="center"/>
    </xf>
    <xf numFmtId="0" fontId="21" fillId="6" borderId="57" xfId="0" applyFont="1" applyFill="1" applyBorder="1" applyAlignment="1">
      <alignment horizontal="left" vertical="center"/>
    </xf>
    <xf numFmtId="0" fontId="21" fillId="6" borderId="20" xfId="0" applyFont="1" applyFill="1" applyBorder="1" applyAlignment="1">
      <alignment horizontal="left" vertical="center"/>
    </xf>
    <xf numFmtId="10" fontId="21" fillId="6" borderId="19" xfId="0" applyNumberFormat="1" applyFont="1" applyFill="1" applyBorder="1" applyAlignment="1">
      <alignment vertical="center"/>
    </xf>
    <xf numFmtId="0" fontId="21" fillId="6" borderId="20" xfId="0" applyFont="1" applyFill="1" applyBorder="1" applyAlignment="1">
      <alignment horizontal="center" vertical="center"/>
    </xf>
    <xf numFmtId="0" fontId="21" fillId="6" borderId="19" xfId="0" applyFont="1" applyFill="1" applyBorder="1" applyAlignment="1">
      <alignment vertical="center"/>
    </xf>
    <xf numFmtId="0" fontId="21" fillId="6" borderId="20" xfId="0" applyFont="1" applyFill="1" applyBorder="1" applyAlignment="1">
      <alignment vertical="center"/>
    </xf>
    <xf numFmtId="0" fontId="21" fillId="6" borderId="58" xfId="0" applyFont="1" applyFill="1" applyBorder="1" applyAlignment="1">
      <alignment horizontal="left" vertical="center"/>
    </xf>
    <xf numFmtId="0" fontId="21" fillId="6" borderId="22" xfId="0" applyFont="1" applyFill="1" applyBorder="1" applyAlignment="1">
      <alignment horizontal="left" vertical="center"/>
    </xf>
    <xf numFmtId="10" fontId="21" fillId="6" borderId="21" xfId="0" applyNumberFormat="1" applyFont="1" applyFill="1" applyBorder="1" applyAlignment="1">
      <alignment vertical="center"/>
    </xf>
    <xf numFmtId="0" fontId="21" fillId="6" borderId="22" xfId="0" applyFont="1" applyFill="1" applyBorder="1" applyAlignment="1">
      <alignment horizontal="center" vertical="center"/>
    </xf>
    <xf numFmtId="0" fontId="21" fillId="6" borderId="21" xfId="0" applyFont="1" applyFill="1" applyBorder="1" applyAlignment="1">
      <alignment vertical="center"/>
    </xf>
    <xf numFmtId="0" fontId="21" fillId="6" borderId="22" xfId="0" applyFont="1" applyFill="1" applyBorder="1" applyAlignment="1">
      <alignment vertical="center"/>
    </xf>
    <xf numFmtId="0" fontId="21" fillId="6" borderId="59" xfId="0" applyFont="1" applyFill="1" applyBorder="1" applyAlignment="1">
      <alignment horizontal="left" vertical="center"/>
    </xf>
    <xf numFmtId="0" fontId="21" fillId="6" borderId="24" xfId="0" applyFont="1" applyFill="1" applyBorder="1" applyAlignment="1">
      <alignment horizontal="left" vertical="center"/>
    </xf>
    <xf numFmtId="0" fontId="21" fillId="6" borderId="24" xfId="0" applyFont="1" applyFill="1" applyBorder="1" applyAlignment="1">
      <alignment horizontal="right" vertical="center"/>
    </xf>
    <xf numFmtId="0" fontId="21" fillId="6" borderId="24" xfId="0" applyFont="1" applyFill="1" applyBorder="1" applyAlignment="1">
      <alignment horizontal="center" vertical="center"/>
    </xf>
    <xf numFmtId="9" fontId="21" fillId="6" borderId="24" xfId="0" applyNumberFormat="1" applyFont="1" applyFill="1" applyBorder="1" applyAlignment="1">
      <alignment horizontal="left" vertical="center"/>
    </xf>
    <xf numFmtId="0" fontId="21" fillId="6" borderId="23" xfId="0" applyFont="1" applyFill="1" applyBorder="1" applyAlignment="1">
      <alignment vertical="center"/>
    </xf>
    <xf numFmtId="0" fontId="21" fillId="6" borderId="24" xfId="0" applyFont="1" applyFill="1" applyBorder="1" applyAlignment="1">
      <alignment vertical="center"/>
    </xf>
    <xf numFmtId="0" fontId="3" fillId="7" borderId="38" xfId="0" applyFont="1" applyFill="1" applyBorder="1" applyAlignment="1" applyProtection="1">
      <alignment horizontal="center" vertical="center"/>
      <protection locked="0"/>
    </xf>
    <xf numFmtId="0" fontId="3" fillId="7" borderId="31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vertical="center"/>
    </xf>
    <xf numFmtId="0" fontId="1" fillId="8" borderId="31" xfId="0" applyFont="1" applyFill="1" applyBorder="1" applyAlignment="1" applyProtection="1">
      <alignment horizontal="center" vertical="center"/>
      <protection locked="0"/>
    </xf>
    <xf numFmtId="49" fontId="1" fillId="8" borderId="21" xfId="0" applyNumberFormat="1" applyFont="1" applyFill="1" applyBorder="1" applyAlignment="1" applyProtection="1">
      <alignment horizontal="center" vertical="center"/>
      <protection locked="0"/>
    </xf>
    <xf numFmtId="49" fontId="1" fillId="8" borderId="28" xfId="0" applyNumberFormat="1" applyFont="1" applyFill="1" applyBorder="1" applyAlignment="1" applyProtection="1">
      <alignment horizontal="center" vertical="center"/>
      <protection locked="0"/>
    </xf>
    <xf numFmtId="0" fontId="1" fillId="8" borderId="21" xfId="0" applyFont="1" applyFill="1" applyBorder="1" applyAlignment="1" applyProtection="1">
      <alignment horizontal="center" vertical="center"/>
      <protection locked="0"/>
    </xf>
    <xf numFmtId="0" fontId="1" fillId="8" borderId="28" xfId="0" applyFont="1" applyFill="1" applyBorder="1" applyAlignment="1" applyProtection="1">
      <alignment horizontal="center" vertical="center"/>
      <protection locked="0"/>
    </xf>
    <xf numFmtId="4" fontId="1" fillId="8" borderId="21" xfId="0" applyNumberFormat="1" applyFont="1" applyFill="1" applyBorder="1" applyAlignment="1" applyProtection="1">
      <alignment horizontal="center" vertical="center"/>
      <protection locked="0"/>
    </xf>
    <xf numFmtId="4" fontId="1" fillId="8" borderId="22" xfId="0" applyNumberFormat="1" applyFont="1" applyFill="1" applyBorder="1" applyAlignment="1" applyProtection="1">
      <alignment horizontal="center" vertical="center"/>
      <protection locked="0"/>
    </xf>
    <xf numFmtId="4" fontId="1" fillId="8" borderId="28" xfId="0" applyNumberFormat="1" applyFont="1" applyFill="1" applyBorder="1" applyAlignment="1" applyProtection="1">
      <alignment horizontal="center" vertical="center"/>
      <protection locked="0"/>
    </xf>
    <xf numFmtId="0" fontId="22" fillId="10" borderId="7" xfId="0" applyFont="1" applyFill="1" applyBorder="1" applyAlignment="1">
      <alignment horizontal="center" wrapText="1"/>
    </xf>
    <xf numFmtId="0" fontId="22" fillId="10" borderId="0" xfId="0" applyFont="1" applyFill="1" applyAlignment="1">
      <alignment horizontal="center" wrapText="1"/>
    </xf>
    <xf numFmtId="10" fontId="23" fillId="10" borderId="69" xfId="0" applyNumberFormat="1" applyFont="1" applyFill="1" applyBorder="1" applyAlignment="1">
      <alignment horizontal="center" vertical="top" wrapText="1"/>
    </xf>
    <xf numFmtId="4" fontId="23" fillId="10" borderId="13" xfId="0" applyNumberFormat="1" applyFont="1" applyFill="1" applyBorder="1" applyAlignment="1">
      <alignment horizontal="center" vertical="top" wrapText="1"/>
    </xf>
    <xf numFmtId="10" fontId="24" fillId="10" borderId="27" xfId="0" applyNumberFormat="1" applyFont="1" applyFill="1" applyBorder="1" applyAlignment="1">
      <alignment horizontal="center" vertical="top" wrapText="1"/>
    </xf>
    <xf numFmtId="171" fontId="24" fillId="10" borderId="73" xfId="0" applyNumberFormat="1" applyFont="1" applyFill="1" applyBorder="1" applyAlignment="1">
      <alignment horizontal="center" vertical="top" wrapText="1"/>
    </xf>
    <xf numFmtId="0" fontId="8" fillId="10" borderId="0" xfId="0" applyFont="1" applyFill="1" applyAlignment="1">
      <alignment horizontal="center" wrapText="1"/>
    </xf>
    <xf numFmtId="0" fontId="7" fillId="10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22" fillId="10" borderId="7" xfId="0" applyFont="1" applyFill="1" applyBorder="1" applyAlignment="1">
      <alignment horizontal="center"/>
    </xf>
    <xf numFmtId="0" fontId="22" fillId="10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76" xfId="0" applyBorder="1" applyAlignment="1">
      <alignment horizontal="center"/>
    </xf>
    <xf numFmtId="0" fontId="0" fillId="0" borderId="77" xfId="0" applyBorder="1" applyAlignment="1">
      <alignment horizontal="center"/>
    </xf>
    <xf numFmtId="10" fontId="24" fillId="10" borderId="78" xfId="0" applyNumberFormat="1" applyFont="1" applyFill="1" applyBorder="1" applyAlignment="1">
      <alignment horizontal="center" vertical="top" wrapText="1"/>
    </xf>
    <xf numFmtId="4" fontId="24" fillId="10" borderId="79" xfId="0" applyNumberFormat="1" applyFont="1" applyFill="1" applyBorder="1" applyAlignment="1">
      <alignment horizontal="center" vertical="top" wrapText="1"/>
    </xf>
    <xf numFmtId="10" fontId="24" fillId="10" borderId="80" xfId="0" applyNumberFormat="1" applyFont="1" applyFill="1" applyBorder="1" applyAlignment="1">
      <alignment horizontal="center" vertical="top" wrapText="1"/>
    </xf>
    <xf numFmtId="171" fontId="24" fillId="10" borderId="81" xfId="0" applyNumberFormat="1" applyFont="1" applyFill="1" applyBorder="1" applyAlignment="1">
      <alignment horizontal="center" vertical="top" wrapText="1"/>
    </xf>
    <xf numFmtId="0" fontId="1" fillId="8" borderId="28" xfId="0" applyFont="1" applyFill="1" applyBorder="1" applyAlignment="1" applyProtection="1">
      <alignment horizontal="left" vertical="center" wrapText="1"/>
      <protection locked="0"/>
    </xf>
    <xf numFmtId="0" fontId="2" fillId="8" borderId="28" xfId="0" applyFont="1" applyFill="1" applyBorder="1" applyAlignment="1" applyProtection="1">
      <alignment horizontal="left" vertical="center" wrapText="1"/>
      <protection locked="0"/>
    </xf>
    <xf numFmtId="9" fontId="23" fillId="10" borderId="69" xfId="3" applyFont="1" applyFill="1" applyBorder="1" applyAlignment="1">
      <alignment horizontal="center" vertical="top" wrapText="1"/>
    </xf>
    <xf numFmtId="10" fontId="23" fillId="7" borderId="69" xfId="0" applyNumberFormat="1" applyFont="1" applyFill="1" applyBorder="1" applyAlignment="1">
      <alignment horizontal="center" vertical="top" wrapText="1"/>
    </xf>
    <xf numFmtId="4" fontId="1" fillId="0" borderId="21" xfId="5" applyNumberFormat="1" applyFont="1" applyFill="1" applyBorder="1" applyAlignment="1" applyProtection="1">
      <alignment horizontal="center" vertical="center"/>
    </xf>
    <xf numFmtId="4" fontId="1" fillId="0" borderId="22" xfId="5" applyNumberFormat="1" applyFont="1" applyFill="1" applyBorder="1" applyAlignment="1" applyProtection="1">
      <alignment horizontal="center" vertical="center"/>
    </xf>
    <xf numFmtId="4" fontId="1" fillId="0" borderId="64" xfId="5" applyNumberFormat="1" applyFont="1" applyFill="1" applyBorder="1" applyAlignment="1" applyProtection="1">
      <alignment horizontal="center" vertical="center"/>
    </xf>
    <xf numFmtId="4" fontId="1" fillId="5" borderId="58" xfId="5" applyNumberFormat="1" applyFont="1" applyFill="1" applyBorder="1" applyAlignment="1" applyProtection="1">
      <alignment horizontal="center" vertical="center"/>
    </xf>
    <xf numFmtId="4" fontId="1" fillId="5" borderId="22" xfId="5" applyNumberFormat="1" applyFont="1" applyFill="1" applyBorder="1" applyAlignment="1" applyProtection="1">
      <alignment horizontal="center" vertical="center"/>
    </xf>
    <xf numFmtId="4" fontId="1" fillId="5" borderId="28" xfId="5" applyNumberFormat="1" applyFont="1" applyFill="1" applyBorder="1" applyAlignment="1" applyProtection="1">
      <alignment horizontal="center" vertical="center"/>
    </xf>
    <xf numFmtId="4" fontId="1" fillId="5" borderId="21" xfId="5" applyNumberFormat="1" applyFont="1" applyFill="1" applyBorder="1" applyAlignment="1" applyProtection="1">
      <alignment horizontal="center" vertical="center"/>
    </xf>
    <xf numFmtId="4" fontId="1" fillId="5" borderId="64" xfId="5" applyNumberFormat="1" applyFont="1" applyFill="1" applyBorder="1" applyAlignment="1" applyProtection="1">
      <alignment horizontal="center" vertical="center"/>
    </xf>
    <xf numFmtId="0" fontId="2" fillId="8" borderId="21" xfId="0" applyFont="1" applyFill="1" applyBorder="1" applyAlignment="1" applyProtection="1">
      <alignment horizontal="left" vertical="center" wrapText="1"/>
      <protection locked="0"/>
    </xf>
    <xf numFmtId="0" fontId="2" fillId="8" borderId="22" xfId="0" applyFont="1" applyFill="1" applyBorder="1" applyAlignment="1" applyProtection="1">
      <alignment horizontal="left" vertical="center" wrapText="1"/>
      <protection locked="0"/>
    </xf>
    <xf numFmtId="0" fontId="2" fillId="8" borderId="28" xfId="0" applyFont="1" applyFill="1" applyBorder="1" applyAlignment="1" applyProtection="1">
      <alignment horizontal="left" vertical="center" wrapText="1"/>
      <protection locked="0"/>
    </xf>
    <xf numFmtId="0" fontId="1" fillId="8" borderId="21" xfId="0" applyFont="1" applyFill="1" applyBorder="1" applyAlignment="1" applyProtection="1">
      <alignment horizontal="center" vertical="center"/>
      <protection locked="0"/>
    </xf>
    <xf numFmtId="0" fontId="1" fillId="8" borderId="28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horizontal="center" vertical="center"/>
      <protection locked="0"/>
    </xf>
    <xf numFmtId="4" fontId="1" fillId="0" borderId="22" xfId="0" applyNumberFormat="1" applyFont="1" applyBorder="1" applyAlignment="1" applyProtection="1">
      <alignment horizontal="center" vertical="center"/>
      <protection locked="0"/>
    </xf>
    <xf numFmtId="4" fontId="1" fillId="0" borderId="28" xfId="0" applyNumberFormat="1" applyFont="1" applyBorder="1" applyAlignment="1" applyProtection="1">
      <alignment horizontal="center" vertical="center"/>
      <protection locked="0"/>
    </xf>
    <xf numFmtId="4" fontId="30" fillId="0" borderId="21" xfId="5" applyNumberFormat="1" applyFont="1" applyFill="1" applyBorder="1" applyAlignment="1" applyProtection="1">
      <alignment horizontal="center" vertical="center" wrapText="1"/>
      <protection locked="0"/>
    </xf>
    <xf numFmtId="4" fontId="30" fillId="0" borderId="22" xfId="5" applyNumberFormat="1" applyFont="1" applyFill="1" applyBorder="1" applyAlignment="1" applyProtection="1">
      <alignment horizontal="center" vertical="center"/>
      <protection locked="0"/>
    </xf>
    <xf numFmtId="4" fontId="30" fillId="0" borderId="22" xfId="5" applyNumberFormat="1" applyFont="1" applyFill="1" applyBorder="1" applyAlignment="1" applyProtection="1">
      <alignment horizontal="center" vertical="center" wrapText="1"/>
      <protection locked="0"/>
    </xf>
    <xf numFmtId="4" fontId="30" fillId="0" borderId="28" xfId="5" applyNumberFormat="1" applyFont="1" applyFill="1" applyBorder="1" applyAlignment="1" applyProtection="1">
      <alignment horizontal="center" vertical="center" wrapText="1"/>
      <protection locked="0"/>
    </xf>
    <xf numFmtId="0" fontId="2" fillId="8" borderId="21" xfId="0" applyFont="1" applyFill="1" applyBorder="1" applyAlignment="1" applyProtection="1">
      <alignment horizontal="center" vertical="center" wrapText="1"/>
      <protection locked="0"/>
    </xf>
    <xf numFmtId="0" fontId="2" fillId="8" borderId="22" xfId="0" applyFont="1" applyFill="1" applyBorder="1" applyAlignment="1" applyProtection="1">
      <alignment horizontal="center" vertical="center" wrapText="1"/>
      <protection locked="0"/>
    </xf>
    <xf numFmtId="4" fontId="2" fillId="0" borderId="21" xfId="0" applyNumberFormat="1" applyFont="1" applyBorder="1" applyAlignment="1" applyProtection="1">
      <alignment horizontal="center" vertical="center"/>
      <protection locked="0"/>
    </xf>
    <xf numFmtId="4" fontId="2" fillId="0" borderId="22" xfId="0" applyNumberFormat="1" applyFont="1" applyBorder="1" applyAlignment="1" applyProtection="1">
      <alignment horizontal="center" vertical="center"/>
      <protection locked="0"/>
    </xf>
    <xf numFmtId="4" fontId="2" fillId="0" borderId="28" xfId="0" applyNumberFormat="1" applyFont="1" applyBorder="1" applyAlignment="1" applyProtection="1">
      <alignment horizontal="center" vertical="center"/>
      <protection locked="0"/>
    </xf>
    <xf numFmtId="4" fontId="1" fillId="0" borderId="32" xfId="5" applyNumberFormat="1" applyFont="1" applyFill="1" applyBorder="1" applyAlignment="1" applyProtection="1">
      <alignment horizontal="center" vertical="center"/>
    </xf>
    <xf numFmtId="4" fontId="1" fillId="0" borderId="33" xfId="5" applyNumberFormat="1" applyFont="1" applyFill="1" applyBorder="1" applyAlignment="1" applyProtection="1">
      <alignment horizontal="center" vertical="center"/>
    </xf>
    <xf numFmtId="4" fontId="1" fillId="0" borderId="34" xfId="5" applyNumberFormat="1" applyFont="1" applyFill="1" applyBorder="1" applyAlignment="1" applyProtection="1">
      <alignment horizontal="center" vertical="center"/>
    </xf>
    <xf numFmtId="4" fontId="1" fillId="5" borderId="31" xfId="5" applyNumberFormat="1" applyFont="1" applyFill="1" applyBorder="1" applyAlignment="1" applyProtection="1">
      <alignment horizontal="center" vertical="center"/>
    </xf>
    <xf numFmtId="4" fontId="1" fillId="5" borderId="13" xfId="5" applyNumberFormat="1" applyFont="1" applyFill="1" applyBorder="1" applyAlignment="1" applyProtection="1">
      <alignment horizontal="center" vertical="center"/>
    </xf>
    <xf numFmtId="0" fontId="1" fillId="11" borderId="21" xfId="0" applyFont="1" applyFill="1" applyBorder="1" applyAlignment="1" applyProtection="1">
      <alignment horizontal="center" vertical="center"/>
      <protection locked="0"/>
    </xf>
    <xf numFmtId="0" fontId="1" fillId="11" borderId="28" xfId="0" applyFont="1" applyFill="1" applyBorder="1" applyAlignment="1" applyProtection="1">
      <alignment horizontal="center" vertical="center"/>
      <protection locked="0"/>
    </xf>
    <xf numFmtId="49" fontId="1" fillId="8" borderId="21" xfId="0" applyNumberFormat="1" applyFont="1" applyFill="1" applyBorder="1" applyAlignment="1" applyProtection="1">
      <alignment horizontal="center" vertical="center"/>
      <protection locked="0"/>
    </xf>
    <xf numFmtId="49" fontId="1" fillId="8" borderId="28" xfId="0" applyNumberFormat="1" applyFont="1" applyFill="1" applyBorder="1" applyAlignment="1" applyProtection="1">
      <alignment horizontal="center" vertical="center"/>
      <protection locked="0"/>
    </xf>
    <xf numFmtId="4" fontId="30" fillId="0" borderId="21" xfId="5" applyNumberFormat="1" applyFont="1" applyFill="1" applyBorder="1" applyAlignment="1" applyProtection="1">
      <alignment horizontal="center" vertical="center"/>
      <protection locked="0"/>
    </xf>
    <xf numFmtId="165" fontId="3" fillId="3" borderId="9" xfId="5" applyFont="1" applyFill="1" applyBorder="1" applyAlignment="1" applyProtection="1">
      <alignment horizontal="left" vertical="center"/>
    </xf>
    <xf numFmtId="165" fontId="3" fillId="3" borderId="2" xfId="5" applyFont="1" applyFill="1" applyBorder="1" applyAlignment="1" applyProtection="1">
      <alignment horizontal="left" vertical="center"/>
    </xf>
    <xf numFmtId="165" fontId="3" fillId="3" borderId="3" xfId="5" applyFont="1" applyFill="1" applyBorder="1" applyAlignment="1" applyProtection="1">
      <alignment horizontal="left" vertical="center"/>
    </xf>
    <xf numFmtId="165" fontId="3" fillId="3" borderId="84" xfId="5" applyFont="1" applyFill="1" applyBorder="1" applyAlignment="1" applyProtection="1">
      <alignment horizontal="center" vertical="center"/>
    </xf>
    <xf numFmtId="165" fontId="3" fillId="3" borderId="8" xfId="5" applyFont="1" applyFill="1" applyBorder="1" applyAlignment="1" applyProtection="1">
      <alignment horizontal="center" vertical="center"/>
    </xf>
    <xf numFmtId="165" fontId="3" fillId="3" borderId="8" xfId="5" applyFont="1" applyFill="1" applyBorder="1" applyAlignment="1" applyProtection="1">
      <alignment horizontal="right" vertical="center"/>
    </xf>
    <xf numFmtId="165" fontId="3" fillId="3" borderId="85" xfId="5" applyFont="1" applyFill="1" applyBorder="1" applyAlignment="1" applyProtection="1">
      <alignment horizontal="right" vertical="center"/>
    </xf>
    <xf numFmtId="0" fontId="2" fillId="8" borderId="21" xfId="0" applyFont="1" applyFill="1" applyBorder="1" applyAlignment="1" applyProtection="1">
      <alignment horizontal="right" vertical="center" wrapText="1"/>
      <protection locked="0"/>
    </xf>
    <xf numFmtId="0" fontId="2" fillId="8" borderId="22" xfId="0" applyFont="1" applyFill="1" applyBorder="1" applyAlignment="1" applyProtection="1">
      <alignment horizontal="right" vertical="center" wrapText="1"/>
      <protection locked="0"/>
    </xf>
    <xf numFmtId="0" fontId="2" fillId="8" borderId="28" xfId="0" applyFont="1" applyFill="1" applyBorder="1" applyAlignment="1" applyProtection="1">
      <alignment horizontal="right" vertical="center" wrapText="1"/>
      <protection locked="0"/>
    </xf>
    <xf numFmtId="4" fontId="1" fillId="8" borderId="21" xfId="0" applyNumberFormat="1" applyFont="1" applyFill="1" applyBorder="1" applyAlignment="1" applyProtection="1">
      <alignment horizontal="right" vertical="center"/>
      <protection locked="0"/>
    </xf>
    <xf numFmtId="4" fontId="1" fillId="8" borderId="22" xfId="0" applyNumberFormat="1" applyFont="1" applyFill="1" applyBorder="1" applyAlignment="1" applyProtection="1">
      <alignment horizontal="right" vertical="center"/>
      <protection locked="0"/>
    </xf>
    <xf numFmtId="4" fontId="1" fillId="8" borderId="28" xfId="0" applyNumberFormat="1" applyFont="1" applyFill="1" applyBorder="1" applyAlignment="1" applyProtection="1">
      <alignment horizontal="right" vertical="center"/>
      <protection locked="0"/>
    </xf>
    <xf numFmtId="4" fontId="30" fillId="0" borderId="28" xfId="5" applyNumberFormat="1" applyFont="1" applyFill="1" applyBorder="1" applyAlignment="1" applyProtection="1">
      <alignment horizontal="center" vertical="center"/>
      <protection locked="0"/>
    </xf>
    <xf numFmtId="4" fontId="2" fillId="0" borderId="32" xfId="5" applyNumberFormat="1" applyFont="1" applyFill="1" applyBorder="1" applyAlignment="1" applyProtection="1">
      <alignment horizontal="center" vertical="center"/>
    </xf>
    <xf numFmtId="4" fontId="2" fillId="0" borderId="33" xfId="5" applyNumberFormat="1" applyFont="1" applyFill="1" applyBorder="1" applyAlignment="1" applyProtection="1">
      <alignment horizontal="center" vertical="center"/>
    </xf>
    <xf numFmtId="4" fontId="2" fillId="0" borderId="34" xfId="5" applyNumberFormat="1" applyFont="1" applyFill="1" applyBorder="1" applyAlignment="1" applyProtection="1">
      <alignment horizontal="center" vertical="center"/>
    </xf>
    <xf numFmtId="4" fontId="1" fillId="11" borderId="21" xfId="0" applyNumberFormat="1" applyFont="1" applyFill="1" applyBorder="1" applyAlignment="1" applyProtection="1">
      <alignment horizontal="left" vertical="center" wrapText="1"/>
      <protection locked="0"/>
    </xf>
    <xf numFmtId="0" fontId="1" fillId="11" borderId="22" xfId="0" applyFont="1" applyFill="1" applyBorder="1" applyAlignment="1" applyProtection="1">
      <alignment horizontal="left" vertical="center" wrapText="1"/>
      <protection locked="0"/>
    </xf>
    <xf numFmtId="0" fontId="1" fillId="11" borderId="28" xfId="0" applyFont="1" applyFill="1" applyBorder="1" applyAlignment="1" applyProtection="1">
      <alignment horizontal="left" vertical="center" wrapText="1"/>
      <protection locked="0"/>
    </xf>
    <xf numFmtId="4" fontId="1" fillId="8" borderId="21" xfId="0" applyNumberFormat="1" applyFont="1" applyFill="1" applyBorder="1" applyAlignment="1" applyProtection="1">
      <alignment horizontal="center" vertical="center"/>
      <protection locked="0"/>
    </xf>
    <xf numFmtId="4" fontId="1" fillId="8" borderId="22" xfId="0" applyNumberFormat="1" applyFont="1" applyFill="1" applyBorder="1" applyAlignment="1" applyProtection="1">
      <alignment horizontal="center" vertical="center"/>
      <protection locked="0"/>
    </xf>
    <xf numFmtId="4" fontId="1" fillId="8" borderId="28" xfId="0" applyNumberFormat="1" applyFont="1" applyFill="1" applyBorder="1" applyAlignment="1" applyProtection="1">
      <alignment horizontal="center" vertical="center"/>
      <protection locked="0"/>
    </xf>
    <xf numFmtId="0" fontId="21" fillId="7" borderId="21" xfId="0" applyFont="1" applyFill="1" applyBorder="1" applyAlignment="1" applyProtection="1">
      <alignment horizontal="center" vertical="center"/>
      <protection locked="0"/>
    </xf>
    <xf numFmtId="0" fontId="21" fillId="7" borderId="28" xfId="0" applyFont="1" applyFill="1" applyBorder="1" applyAlignment="1" applyProtection="1">
      <alignment horizontal="center" vertical="center"/>
      <protection locked="0"/>
    </xf>
    <xf numFmtId="4" fontId="1" fillId="8" borderId="21" xfId="0" applyNumberFormat="1" applyFont="1" applyFill="1" applyBorder="1" applyAlignment="1" applyProtection="1">
      <alignment horizontal="center" vertical="center" wrapText="1"/>
      <protection locked="0"/>
    </xf>
    <xf numFmtId="4" fontId="1" fillId="8" borderId="22" xfId="0" applyNumberFormat="1" applyFont="1" applyFill="1" applyBorder="1" applyAlignment="1" applyProtection="1">
      <alignment horizontal="center" vertical="center" wrapText="1"/>
      <protection locked="0"/>
    </xf>
    <xf numFmtId="4" fontId="1" fillId="5" borderId="13" xfId="5" applyNumberFormat="1" applyFont="1" applyFill="1" applyBorder="1" applyAlignment="1" applyProtection="1">
      <alignment horizontal="right" vertical="center"/>
    </xf>
    <xf numFmtId="4" fontId="1" fillId="5" borderId="63" xfId="5" applyNumberFormat="1" applyFont="1" applyFill="1" applyBorder="1" applyAlignment="1" applyProtection="1">
      <alignment horizontal="right" vertical="center"/>
    </xf>
    <xf numFmtId="172" fontId="30" fillId="0" borderId="21" xfId="0" applyNumberFormat="1" applyFont="1" applyBorder="1" applyAlignment="1" applyProtection="1">
      <alignment horizontal="center" vertical="center" wrapText="1"/>
      <protection locked="0"/>
    </xf>
    <xf numFmtId="172" fontId="30" fillId="0" borderId="22" xfId="0" applyNumberFormat="1" applyFont="1" applyBorder="1" applyAlignment="1" applyProtection="1">
      <alignment horizontal="center" vertical="center" wrapText="1"/>
      <protection locked="0"/>
    </xf>
    <xf numFmtId="172" fontId="30" fillId="0" borderId="28" xfId="0" applyNumberFormat="1" applyFont="1" applyBorder="1" applyAlignment="1" applyProtection="1">
      <alignment horizontal="center" vertical="center" wrapText="1"/>
      <protection locked="0"/>
    </xf>
    <xf numFmtId="4" fontId="1" fillId="8" borderId="21" xfId="0" applyNumberFormat="1" applyFont="1" applyFill="1" applyBorder="1" applyAlignment="1" applyProtection="1">
      <alignment horizontal="left" vertical="center" wrapText="1"/>
      <protection locked="0"/>
    </xf>
    <xf numFmtId="0" fontId="1" fillId="8" borderId="22" xfId="0" applyFont="1" applyFill="1" applyBorder="1" applyAlignment="1" applyProtection="1">
      <alignment horizontal="left" vertical="center" wrapText="1"/>
      <protection locked="0"/>
    </xf>
    <xf numFmtId="0" fontId="1" fillId="8" borderId="28" xfId="0" applyFont="1" applyFill="1" applyBorder="1" applyAlignment="1" applyProtection="1">
      <alignment horizontal="left" vertical="center" wrapText="1"/>
      <protection locked="0"/>
    </xf>
    <xf numFmtId="4" fontId="30" fillId="0" borderId="21" xfId="0" applyNumberFormat="1" applyFont="1" applyBorder="1" applyAlignment="1" applyProtection="1">
      <alignment horizontal="center" vertical="center" wrapText="1"/>
      <protection locked="0"/>
    </xf>
    <xf numFmtId="4" fontId="30" fillId="0" borderId="22" xfId="0" applyNumberFormat="1" applyFont="1" applyBorder="1" applyAlignment="1" applyProtection="1">
      <alignment horizontal="center" vertical="center"/>
      <protection locked="0"/>
    </xf>
    <xf numFmtId="4" fontId="30" fillId="0" borderId="28" xfId="0" applyNumberFormat="1" applyFont="1" applyBorder="1" applyAlignment="1" applyProtection="1">
      <alignment horizontal="center" vertical="center"/>
      <protection locked="0"/>
    </xf>
    <xf numFmtId="0" fontId="21" fillId="7" borderId="19" xfId="0" applyFont="1" applyFill="1" applyBorder="1" applyAlignment="1" applyProtection="1">
      <alignment horizontal="center" vertical="center"/>
      <protection locked="0"/>
    </xf>
    <xf numFmtId="0" fontId="21" fillId="7" borderId="39" xfId="0" applyFont="1" applyFill="1" applyBorder="1" applyAlignment="1" applyProtection="1">
      <alignment horizontal="center" vertical="center"/>
      <protection locked="0"/>
    </xf>
    <xf numFmtId="4" fontId="21" fillId="7" borderId="21" xfId="0" applyNumberFormat="1" applyFont="1" applyFill="1" applyBorder="1" applyAlignment="1" applyProtection="1">
      <alignment horizontal="right" vertical="center"/>
      <protection locked="0"/>
    </xf>
    <xf numFmtId="4" fontId="21" fillId="7" borderId="22" xfId="0" applyNumberFormat="1" applyFont="1" applyFill="1" applyBorder="1" applyAlignment="1" applyProtection="1">
      <alignment horizontal="right" vertical="center"/>
      <protection locked="0"/>
    </xf>
    <xf numFmtId="4" fontId="21" fillId="7" borderId="28" xfId="0" applyNumberFormat="1" applyFont="1" applyFill="1" applyBorder="1" applyAlignment="1" applyProtection="1">
      <alignment horizontal="right" vertical="center"/>
      <protection locked="0"/>
    </xf>
    <xf numFmtId="4" fontId="29" fillId="7" borderId="35" xfId="5" applyNumberFormat="1" applyFont="1" applyFill="1" applyBorder="1" applyAlignment="1" applyProtection="1">
      <alignment horizontal="center" vertical="center"/>
      <protection locked="0"/>
    </xf>
    <xf numFmtId="4" fontId="29" fillId="7" borderId="36" xfId="5" applyNumberFormat="1" applyFont="1" applyFill="1" applyBorder="1" applyAlignment="1" applyProtection="1">
      <alignment horizontal="center" vertical="center"/>
      <protection locked="0"/>
    </xf>
    <xf numFmtId="4" fontId="29" fillId="7" borderId="40" xfId="5" applyNumberFormat="1" applyFont="1" applyFill="1" applyBorder="1" applyAlignment="1" applyProtection="1">
      <alignment horizontal="center" vertical="center"/>
      <protection locked="0"/>
    </xf>
    <xf numFmtId="4" fontId="21" fillId="7" borderId="35" xfId="5" applyNumberFormat="1" applyFont="1" applyFill="1" applyBorder="1" applyAlignment="1" applyProtection="1">
      <alignment horizontal="center" vertical="center"/>
    </xf>
    <xf numFmtId="4" fontId="21" fillId="7" borderId="36" xfId="5" applyNumberFormat="1" applyFont="1" applyFill="1" applyBorder="1" applyAlignment="1" applyProtection="1">
      <alignment horizontal="center" vertical="center"/>
    </xf>
    <xf numFmtId="4" fontId="21" fillId="7" borderId="37" xfId="5" applyNumberFormat="1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3" fillId="3" borderId="55" xfId="0" applyFont="1" applyFill="1" applyBorder="1" applyAlignment="1">
      <alignment horizontal="center" vertical="center"/>
    </xf>
    <xf numFmtId="4" fontId="21" fillId="7" borderId="38" xfId="5" applyNumberFormat="1" applyFont="1" applyFill="1" applyBorder="1" applyAlignment="1" applyProtection="1">
      <alignment horizontal="center" vertical="center"/>
    </xf>
    <xf numFmtId="4" fontId="21" fillId="7" borderId="27" xfId="5" applyNumberFormat="1" applyFont="1" applyFill="1" applyBorder="1" applyAlignment="1" applyProtection="1">
      <alignment horizontal="center" vertical="center"/>
    </xf>
    <xf numFmtId="4" fontId="21" fillId="7" borderId="27" xfId="5" applyNumberFormat="1" applyFont="1" applyFill="1" applyBorder="1" applyAlignment="1" applyProtection="1">
      <alignment horizontal="right" vertical="center"/>
    </xf>
    <xf numFmtId="4" fontId="21" fillId="7" borderId="62" xfId="5" applyNumberFormat="1" applyFont="1" applyFill="1" applyBorder="1" applyAlignment="1" applyProtection="1">
      <alignment horizontal="right" vertical="center"/>
    </xf>
    <xf numFmtId="4" fontId="10" fillId="0" borderId="0" xfId="5" applyNumberFormat="1" applyFont="1" applyFill="1" applyBorder="1" applyAlignment="1" applyProtection="1">
      <alignment horizontal="right" vertical="center"/>
      <protection locked="0"/>
    </xf>
    <xf numFmtId="0" fontId="7" fillId="0" borderId="8" xfId="0" applyFont="1" applyBorder="1" applyAlignment="1">
      <alignment horizontal="center" vertical="center"/>
    </xf>
    <xf numFmtId="49" fontId="21" fillId="7" borderId="19" xfId="0" applyNumberFormat="1" applyFont="1" applyFill="1" applyBorder="1" applyAlignment="1" applyProtection="1">
      <alignment horizontal="center" vertical="center"/>
      <protection locked="0"/>
    </xf>
    <xf numFmtId="49" fontId="21" fillId="7" borderId="39" xfId="0" applyNumberFormat="1" applyFont="1" applyFill="1" applyBorder="1" applyAlignment="1" applyProtection="1">
      <alignment horizontal="center" vertical="center"/>
      <protection locked="0"/>
    </xf>
    <xf numFmtId="4" fontId="3" fillId="7" borderId="19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20" xfId="0" applyFont="1" applyFill="1" applyBorder="1" applyAlignment="1" applyProtection="1">
      <alignment horizontal="center" vertical="center" wrapText="1"/>
      <protection locked="0"/>
    </xf>
    <xf numFmtId="0" fontId="3" fillId="7" borderId="39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/>
    </xf>
    <xf numFmtId="0" fontId="27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right" vertical="center"/>
    </xf>
    <xf numFmtId="0" fontId="27" fillId="2" borderId="5" xfId="0" applyFont="1" applyFill="1" applyBorder="1" applyAlignment="1">
      <alignment horizontal="right" vertical="center"/>
    </xf>
    <xf numFmtId="0" fontId="21" fillId="4" borderId="41" xfId="0" applyFont="1" applyFill="1" applyBorder="1" applyAlignment="1" applyProtection="1">
      <alignment horizontal="left" vertical="center"/>
      <protection locked="0"/>
    </xf>
    <xf numFmtId="0" fontId="21" fillId="4" borderId="18" xfId="0" applyFont="1" applyFill="1" applyBorder="1" applyAlignment="1" applyProtection="1">
      <alignment horizontal="left" vertical="center"/>
      <protection locked="0"/>
    </xf>
    <xf numFmtId="0" fontId="21" fillId="4" borderId="26" xfId="0" applyFont="1" applyFill="1" applyBorder="1" applyAlignment="1" applyProtection="1">
      <alignment horizontal="left" vertical="center"/>
      <protection locked="0"/>
    </xf>
    <xf numFmtId="0" fontId="3" fillId="4" borderId="17" xfId="0" applyFont="1" applyFill="1" applyBorder="1" applyAlignment="1" applyProtection="1">
      <alignment horizontal="center" vertical="center"/>
      <protection locked="0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3" fillId="4" borderId="55" xfId="0" applyFont="1" applyFill="1" applyBorder="1" applyAlignment="1" applyProtection="1">
      <alignment horizontal="center" vertical="center"/>
      <protection locked="0"/>
    </xf>
    <xf numFmtId="0" fontId="21" fillId="4" borderId="41" xfId="0" applyFont="1" applyFill="1" applyBorder="1" applyAlignment="1" applyProtection="1">
      <alignment horizontal="left" vertical="center" wrapText="1"/>
      <protection locked="0"/>
    </xf>
    <xf numFmtId="0" fontId="21" fillId="4" borderId="18" xfId="0" applyFont="1" applyFill="1" applyBorder="1" applyAlignment="1" applyProtection="1">
      <alignment horizontal="left" vertical="center" wrapText="1"/>
      <protection locked="0"/>
    </xf>
    <xf numFmtId="0" fontId="21" fillId="4" borderId="26" xfId="0" applyFont="1" applyFill="1" applyBorder="1" applyAlignment="1" applyProtection="1">
      <alignment horizontal="left" vertical="center" wrapText="1"/>
      <protection locked="0"/>
    </xf>
    <xf numFmtId="0" fontId="21" fillId="4" borderId="17" xfId="0" applyFont="1" applyFill="1" applyBorder="1" applyAlignment="1" applyProtection="1">
      <alignment horizontal="left" vertical="center"/>
      <protection locked="0"/>
    </xf>
    <xf numFmtId="0" fontId="21" fillId="0" borderId="16" xfId="0" applyFont="1" applyBorder="1" applyAlignment="1">
      <alignment horizontal="left" vertical="center" wrapText="1"/>
    </xf>
    <xf numFmtId="0" fontId="21" fillId="0" borderId="56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55" xfId="0" applyFont="1" applyBorder="1" applyAlignment="1">
      <alignment horizontal="left" vertical="center" wrapText="1"/>
    </xf>
    <xf numFmtId="10" fontId="21" fillId="6" borderId="22" xfId="0" applyNumberFormat="1" applyFont="1" applyFill="1" applyBorder="1" applyAlignment="1">
      <alignment horizontal="center" vertical="center"/>
    </xf>
    <xf numFmtId="10" fontId="21" fillId="6" borderId="28" xfId="0" applyNumberFormat="1" applyFont="1" applyFill="1" applyBorder="1" applyAlignment="1">
      <alignment horizontal="center" vertical="center"/>
    </xf>
    <xf numFmtId="10" fontId="21" fillId="4" borderId="22" xfId="3" applyNumberFormat="1" applyFont="1" applyFill="1" applyBorder="1" applyAlignment="1" applyProtection="1">
      <alignment horizontal="right" vertical="center"/>
      <protection locked="0"/>
    </xf>
    <xf numFmtId="10" fontId="21" fillId="4" borderId="28" xfId="3" applyNumberFormat="1" applyFont="1" applyFill="1" applyBorder="1" applyAlignment="1" applyProtection="1">
      <alignment horizontal="right" vertical="center"/>
      <protection locked="0"/>
    </xf>
    <xf numFmtId="10" fontId="21" fillId="6" borderId="20" xfId="0" applyNumberFormat="1" applyFont="1" applyFill="1" applyBorder="1" applyAlignment="1">
      <alignment horizontal="center" vertical="center"/>
    </xf>
    <xf numFmtId="10" fontId="21" fillId="6" borderId="39" xfId="0" applyNumberFormat="1" applyFont="1" applyFill="1" applyBorder="1" applyAlignment="1">
      <alignment horizontal="center" vertical="center"/>
    </xf>
    <xf numFmtId="10" fontId="21" fillId="4" borderId="20" xfId="3" applyNumberFormat="1" applyFont="1" applyFill="1" applyBorder="1" applyAlignment="1" applyProtection="1">
      <alignment horizontal="right" vertical="center"/>
      <protection locked="0"/>
    </xf>
    <xf numFmtId="10" fontId="21" fillId="4" borderId="39" xfId="3" applyNumberFormat="1" applyFont="1" applyFill="1" applyBorder="1" applyAlignment="1" applyProtection="1">
      <alignment horizontal="right" vertical="center"/>
      <protection locked="0"/>
    </xf>
    <xf numFmtId="166" fontId="21" fillId="4" borderId="17" xfId="0" applyNumberFormat="1" applyFont="1" applyFill="1" applyBorder="1" applyAlignment="1" applyProtection="1">
      <alignment horizontal="left" vertical="center"/>
      <protection locked="0"/>
    </xf>
    <xf numFmtId="166" fontId="21" fillId="4" borderId="18" xfId="0" applyNumberFormat="1" applyFont="1" applyFill="1" applyBorder="1" applyAlignment="1" applyProtection="1">
      <alignment horizontal="left" vertical="center"/>
      <protection locked="0"/>
    </xf>
    <xf numFmtId="166" fontId="21" fillId="4" borderId="26" xfId="0" applyNumberFormat="1" applyFont="1" applyFill="1" applyBorder="1" applyAlignment="1" applyProtection="1">
      <alignment horizontal="left" vertical="center"/>
      <protection locked="0"/>
    </xf>
    <xf numFmtId="166" fontId="21" fillId="7" borderId="17" xfId="0" applyNumberFormat="1" applyFont="1" applyFill="1" applyBorder="1" applyAlignment="1" applyProtection="1">
      <alignment horizontal="left" vertical="center" wrapText="1"/>
      <protection locked="0"/>
    </xf>
    <xf numFmtId="166" fontId="21" fillId="7" borderId="18" xfId="0" applyNumberFormat="1" applyFont="1" applyFill="1" applyBorder="1" applyAlignment="1" applyProtection="1">
      <alignment horizontal="left" vertical="center" wrapText="1"/>
      <protection locked="0"/>
    </xf>
    <xf numFmtId="166" fontId="21" fillId="7" borderId="55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3" xfId="0" applyFont="1" applyFill="1" applyBorder="1" applyAlignment="1">
      <alignment horizontal="right" vertical="center"/>
    </xf>
    <xf numFmtId="0" fontId="3" fillId="3" borderId="16" xfId="0" applyFont="1" applyFill="1" applyBorder="1" applyAlignment="1">
      <alignment horizontal="right" vertical="center"/>
    </xf>
    <xf numFmtId="0" fontId="3" fillId="3" borderId="25" xfId="0" applyFont="1" applyFill="1" applyBorder="1" applyAlignment="1">
      <alignment horizontal="right" vertical="center"/>
    </xf>
    <xf numFmtId="0" fontId="3" fillId="3" borderId="44" xfId="0" applyFont="1" applyFill="1" applyBorder="1" applyAlignment="1">
      <alignment horizontal="right" vertical="center"/>
    </xf>
    <xf numFmtId="0" fontId="3" fillId="3" borderId="18" xfId="0" applyFont="1" applyFill="1" applyBorder="1" applyAlignment="1">
      <alignment horizontal="right" vertical="center"/>
    </xf>
    <xf numFmtId="0" fontId="3" fillId="3" borderId="26" xfId="0" applyFont="1" applyFill="1" applyBorder="1" applyAlignment="1">
      <alignment horizontal="right" vertical="center"/>
    </xf>
    <xf numFmtId="10" fontId="3" fillId="5" borderId="15" xfId="3" applyNumberFormat="1" applyFont="1" applyFill="1" applyBorder="1" applyAlignment="1" applyProtection="1">
      <alignment horizontal="center" vertical="center"/>
    </xf>
    <xf numFmtId="10" fontId="3" fillId="5" borderId="16" xfId="3" applyNumberFormat="1" applyFont="1" applyFill="1" applyBorder="1" applyAlignment="1" applyProtection="1">
      <alignment horizontal="center" vertical="center"/>
    </xf>
    <xf numFmtId="10" fontId="3" fillId="5" borderId="56" xfId="3" applyNumberFormat="1" applyFont="1" applyFill="1" applyBorder="1" applyAlignment="1" applyProtection="1">
      <alignment horizontal="center" vertical="center"/>
    </xf>
    <xf numFmtId="10" fontId="3" fillId="5" borderId="17" xfId="3" applyNumberFormat="1" applyFont="1" applyFill="1" applyBorder="1" applyAlignment="1" applyProtection="1">
      <alignment horizontal="center" vertical="center"/>
    </xf>
    <xf numFmtId="10" fontId="3" fillId="5" borderId="18" xfId="3" applyNumberFormat="1" applyFont="1" applyFill="1" applyBorder="1" applyAlignment="1" applyProtection="1">
      <alignment horizontal="center" vertical="center"/>
    </xf>
    <xf numFmtId="10" fontId="3" fillId="5" borderId="55" xfId="3" applyNumberFormat="1" applyFont="1" applyFill="1" applyBorder="1" applyAlignment="1" applyProtection="1">
      <alignment horizontal="center" vertical="center"/>
    </xf>
    <xf numFmtId="0" fontId="3" fillId="3" borderId="54" xfId="0" applyFont="1" applyFill="1" applyBorder="1" applyAlignment="1">
      <alignment horizontal="center" vertical="center" textRotation="90"/>
    </xf>
    <xf numFmtId="0" fontId="3" fillId="3" borderId="60" xfId="0" applyFont="1" applyFill="1" applyBorder="1" applyAlignment="1">
      <alignment horizontal="center" vertical="center" textRotation="90"/>
    </xf>
    <xf numFmtId="0" fontId="3" fillId="3" borderId="61" xfId="0" applyFont="1" applyFill="1" applyBorder="1" applyAlignment="1">
      <alignment horizontal="center" vertical="center" textRotation="90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167" fontId="3" fillId="3" borderId="15" xfId="0" applyNumberFormat="1" applyFont="1" applyFill="1" applyBorder="1" applyAlignment="1">
      <alignment horizontal="center" vertical="center"/>
    </xf>
    <xf numFmtId="167" fontId="3" fillId="3" borderId="16" xfId="0" applyNumberFormat="1" applyFont="1" applyFill="1" applyBorder="1" applyAlignment="1">
      <alignment horizontal="center" vertical="center"/>
    </xf>
    <xf numFmtId="167" fontId="3" fillId="3" borderId="25" xfId="0" applyNumberFormat="1" applyFont="1" applyFill="1" applyBorder="1" applyAlignment="1">
      <alignment horizontal="center" vertical="center"/>
    </xf>
    <xf numFmtId="167" fontId="3" fillId="3" borderId="10" xfId="0" applyNumberFormat="1" applyFont="1" applyFill="1" applyBorder="1" applyAlignment="1">
      <alignment horizontal="center" vertical="center"/>
    </xf>
    <xf numFmtId="167" fontId="3" fillId="3" borderId="0" xfId="0" applyNumberFormat="1" applyFont="1" applyFill="1" applyAlignment="1">
      <alignment horizontal="center" vertical="center"/>
    </xf>
    <xf numFmtId="167" fontId="3" fillId="3" borderId="14" xfId="0" applyNumberFormat="1" applyFont="1" applyFill="1" applyBorder="1" applyAlignment="1">
      <alignment horizontal="center" vertical="center"/>
    </xf>
    <xf numFmtId="167" fontId="3" fillId="3" borderId="17" xfId="0" applyNumberFormat="1" applyFont="1" applyFill="1" applyBorder="1" applyAlignment="1">
      <alignment horizontal="center" vertical="center"/>
    </xf>
    <xf numFmtId="167" fontId="3" fillId="3" borderId="18" xfId="0" applyNumberFormat="1" applyFont="1" applyFill="1" applyBorder="1" applyAlignment="1">
      <alignment horizontal="center" vertical="center"/>
    </xf>
    <xf numFmtId="167" fontId="3" fillId="3" borderId="26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10" fontId="21" fillId="6" borderId="23" xfId="0" applyNumberFormat="1" applyFont="1" applyFill="1" applyBorder="1" applyAlignment="1">
      <alignment horizontal="center" vertical="center"/>
    </xf>
    <xf numFmtId="10" fontId="21" fillId="6" borderId="24" xfId="0" applyNumberFormat="1" applyFont="1" applyFill="1" applyBorder="1" applyAlignment="1">
      <alignment horizontal="center" vertical="center"/>
    </xf>
    <xf numFmtId="10" fontId="21" fillId="6" borderId="42" xfId="0" applyNumberFormat="1" applyFont="1" applyFill="1" applyBorder="1" applyAlignment="1">
      <alignment horizontal="center" vertical="center"/>
    </xf>
    <xf numFmtId="10" fontId="21" fillId="4" borderId="24" xfId="3" applyNumberFormat="1" applyFont="1" applyFill="1" applyBorder="1" applyAlignment="1" applyProtection="1">
      <alignment horizontal="right" vertical="center"/>
      <protection locked="0"/>
    </xf>
    <xf numFmtId="10" fontId="21" fillId="4" borderId="42" xfId="3" applyNumberFormat="1" applyFont="1" applyFill="1" applyBorder="1" applyAlignment="1" applyProtection="1">
      <alignment horizontal="right" vertical="center"/>
      <protection locked="0"/>
    </xf>
    <xf numFmtId="4" fontId="7" fillId="0" borderId="0" xfId="5" applyNumberFormat="1" applyFont="1" applyFill="1" applyBorder="1" applyAlignment="1" applyProtection="1">
      <alignment horizontal="center" vertical="center"/>
      <protection locked="0"/>
    </xf>
    <xf numFmtId="4" fontId="7" fillId="0" borderId="0" xfId="5" applyNumberFormat="1" applyFont="1" applyFill="1" applyBorder="1" applyAlignment="1" applyProtection="1">
      <alignment horizontal="right" vertical="center"/>
      <protection locked="0"/>
    </xf>
    <xf numFmtId="4" fontId="2" fillId="5" borderId="21" xfId="5" applyNumberFormat="1" applyFont="1" applyFill="1" applyBorder="1" applyAlignment="1" applyProtection="1">
      <alignment horizontal="right" vertical="center"/>
    </xf>
    <xf numFmtId="4" fontId="2" fillId="5" borderId="22" xfId="5" applyNumberFormat="1" applyFont="1" applyFill="1" applyBorder="1" applyAlignment="1" applyProtection="1">
      <alignment horizontal="right" vertical="center"/>
    </xf>
    <xf numFmtId="4" fontId="2" fillId="5" borderId="64" xfId="5" applyNumberFormat="1" applyFont="1" applyFill="1" applyBorder="1" applyAlignment="1" applyProtection="1">
      <alignment horizontal="right" vertical="center"/>
    </xf>
    <xf numFmtId="4" fontId="21" fillId="7" borderId="13" xfId="5" applyNumberFormat="1" applyFont="1" applyFill="1" applyBorder="1" applyAlignment="1" applyProtection="1">
      <alignment horizontal="right" vertical="center"/>
    </xf>
    <xf numFmtId="4" fontId="21" fillId="7" borderId="63" xfId="5" applyNumberFormat="1" applyFont="1" applyFill="1" applyBorder="1" applyAlignment="1" applyProtection="1">
      <alignment horizontal="right" vertical="center"/>
    </xf>
    <xf numFmtId="4" fontId="1" fillId="5" borderId="21" xfId="5" applyNumberFormat="1" applyFont="1" applyFill="1" applyBorder="1" applyAlignment="1" applyProtection="1">
      <alignment horizontal="right" vertical="center"/>
    </xf>
    <xf numFmtId="4" fontId="1" fillId="5" borderId="22" xfId="5" applyNumberFormat="1" applyFont="1" applyFill="1" applyBorder="1" applyAlignment="1" applyProtection="1">
      <alignment horizontal="right" vertical="center"/>
    </xf>
    <xf numFmtId="4" fontId="1" fillId="5" borderId="64" xfId="5" applyNumberFormat="1" applyFont="1" applyFill="1" applyBorder="1" applyAlignment="1" applyProtection="1">
      <alignment horizontal="right" vertical="center"/>
    </xf>
    <xf numFmtId="49" fontId="21" fillId="7" borderId="21" xfId="0" applyNumberFormat="1" applyFont="1" applyFill="1" applyBorder="1" applyAlignment="1" applyProtection="1">
      <alignment horizontal="center" vertical="center"/>
      <protection locked="0"/>
    </xf>
    <xf numFmtId="49" fontId="21" fillId="7" borderId="28" xfId="0" applyNumberFormat="1" applyFont="1" applyFill="1" applyBorder="1" applyAlignment="1" applyProtection="1">
      <alignment horizontal="center" vertical="center"/>
      <protection locked="0"/>
    </xf>
    <xf numFmtId="0" fontId="3" fillId="7" borderId="21" xfId="0" applyFont="1" applyFill="1" applyBorder="1" applyAlignment="1" applyProtection="1">
      <alignment horizontal="center" vertical="center" wrapText="1"/>
      <protection locked="0"/>
    </xf>
    <xf numFmtId="0" fontId="3" fillId="7" borderId="22" xfId="0" applyFont="1" applyFill="1" applyBorder="1" applyAlignment="1" applyProtection="1">
      <alignment horizontal="center" vertical="center" wrapText="1"/>
      <protection locked="0"/>
    </xf>
    <xf numFmtId="0" fontId="3" fillId="7" borderId="28" xfId="0" applyFont="1" applyFill="1" applyBorder="1" applyAlignment="1" applyProtection="1">
      <alignment horizontal="center" vertical="center" wrapText="1"/>
      <protection locked="0"/>
    </xf>
    <xf numFmtId="4" fontId="21" fillId="7" borderId="31" xfId="5" applyNumberFormat="1" applyFont="1" applyFill="1" applyBorder="1" applyAlignment="1" applyProtection="1">
      <alignment horizontal="center" vertical="center"/>
    </xf>
    <xf numFmtId="4" fontId="21" fillId="7" borderId="13" xfId="5" applyNumberFormat="1" applyFont="1" applyFill="1" applyBorder="1" applyAlignment="1" applyProtection="1">
      <alignment horizontal="center" vertical="center"/>
    </xf>
    <xf numFmtId="4" fontId="29" fillId="7" borderId="21" xfId="5" applyNumberFormat="1" applyFont="1" applyFill="1" applyBorder="1" applyAlignment="1" applyProtection="1">
      <alignment horizontal="center" vertical="center"/>
      <protection locked="0"/>
    </xf>
    <xf numFmtId="4" fontId="29" fillId="7" borderId="22" xfId="5" applyNumberFormat="1" applyFont="1" applyFill="1" applyBorder="1" applyAlignment="1" applyProtection="1">
      <alignment horizontal="center" vertical="center"/>
      <protection locked="0"/>
    </xf>
    <xf numFmtId="4" fontId="29" fillId="7" borderId="28" xfId="5" applyNumberFormat="1" applyFont="1" applyFill="1" applyBorder="1" applyAlignment="1" applyProtection="1">
      <alignment horizontal="center" vertical="center"/>
      <protection locked="0"/>
    </xf>
    <xf numFmtId="4" fontId="21" fillId="7" borderId="32" xfId="5" applyNumberFormat="1" applyFont="1" applyFill="1" applyBorder="1" applyAlignment="1" applyProtection="1">
      <alignment horizontal="center" vertical="center"/>
    </xf>
    <xf numFmtId="4" fontId="21" fillId="7" borderId="33" xfId="5" applyNumberFormat="1" applyFont="1" applyFill="1" applyBorder="1" applyAlignment="1" applyProtection="1">
      <alignment horizontal="center" vertical="center"/>
    </xf>
    <xf numFmtId="4" fontId="21" fillId="7" borderId="34" xfId="5" applyNumberFormat="1" applyFont="1" applyFill="1" applyBorder="1" applyAlignment="1" applyProtection="1">
      <alignment horizontal="center" vertical="center"/>
    </xf>
    <xf numFmtId="49" fontId="1" fillId="11" borderId="21" xfId="0" applyNumberFormat="1" applyFont="1" applyFill="1" applyBorder="1" applyAlignment="1" applyProtection="1">
      <alignment horizontal="center" vertical="center"/>
      <protection locked="0"/>
    </xf>
    <xf numFmtId="49" fontId="1" fillId="11" borderId="28" xfId="0" applyNumberFormat="1" applyFont="1" applyFill="1" applyBorder="1" applyAlignment="1" applyProtection="1">
      <alignment horizontal="center" vertical="center"/>
      <protection locked="0"/>
    </xf>
    <xf numFmtId="0" fontId="2" fillId="11" borderId="21" xfId="0" applyFont="1" applyFill="1" applyBorder="1" applyAlignment="1" applyProtection="1">
      <alignment horizontal="left" vertical="center" wrapText="1"/>
      <protection locked="0"/>
    </xf>
    <xf numFmtId="0" fontId="2" fillId="11" borderId="22" xfId="0" applyFont="1" applyFill="1" applyBorder="1" applyAlignment="1" applyProtection="1">
      <alignment horizontal="left" vertical="center" wrapText="1"/>
      <protection locked="0"/>
    </xf>
    <xf numFmtId="0" fontId="2" fillId="11" borderId="28" xfId="0" applyFont="1" applyFill="1" applyBorder="1" applyAlignment="1" applyProtection="1">
      <alignment horizontal="left" vertical="center" wrapText="1"/>
      <protection locked="0"/>
    </xf>
    <xf numFmtId="0" fontId="3" fillId="6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3" fillId="3" borderId="11" xfId="0" applyFont="1" applyFill="1" applyBorder="1" applyAlignment="1">
      <alignment horizontal="right" vertical="center"/>
    </xf>
    <xf numFmtId="0" fontId="21" fillId="6" borderId="16" xfId="0" applyFont="1" applyFill="1" applyBorder="1" applyAlignment="1">
      <alignment horizontal="left" vertical="center"/>
    </xf>
    <xf numFmtId="0" fontId="21" fillId="6" borderId="56" xfId="0" applyFont="1" applyFill="1" applyBorder="1" applyAlignment="1">
      <alignment horizontal="left" vertical="center"/>
    </xf>
    <xf numFmtId="0" fontId="21" fillId="6" borderId="18" xfId="0" applyFont="1" applyFill="1" applyBorder="1" applyAlignment="1">
      <alignment horizontal="left" vertical="center"/>
    </xf>
    <xf numFmtId="0" fontId="21" fillId="6" borderId="55" xfId="0" applyFont="1" applyFill="1" applyBorder="1" applyAlignment="1">
      <alignment horizontal="left" vertical="center"/>
    </xf>
    <xf numFmtId="0" fontId="3" fillId="6" borderId="48" xfId="0" applyFont="1" applyFill="1" applyBorder="1" applyAlignment="1">
      <alignment horizontal="left" vertical="center"/>
    </xf>
    <xf numFmtId="0" fontId="3" fillId="6" borderId="16" xfId="0" applyFont="1" applyFill="1" applyBorder="1" applyAlignment="1">
      <alignment horizontal="left" vertical="center"/>
    </xf>
    <xf numFmtId="0" fontId="3" fillId="6" borderId="41" xfId="0" applyFont="1" applyFill="1" applyBorder="1" applyAlignment="1">
      <alignment horizontal="left" vertical="center"/>
    </xf>
    <xf numFmtId="0" fontId="3" fillId="6" borderId="18" xfId="0" applyFont="1" applyFill="1" applyBorder="1" applyAlignment="1">
      <alignment horizontal="left" vertical="center"/>
    </xf>
    <xf numFmtId="0" fontId="3" fillId="3" borderId="48" xfId="0" applyFont="1" applyFill="1" applyBorder="1" applyAlignment="1">
      <alignment horizontal="center" vertical="center"/>
    </xf>
    <xf numFmtId="0" fontId="3" fillId="3" borderId="82" xfId="0" applyFont="1" applyFill="1" applyBorder="1" applyAlignment="1">
      <alignment horizontal="center" vertical="center"/>
    </xf>
    <xf numFmtId="0" fontId="3" fillId="3" borderId="83" xfId="0" applyFont="1" applyFill="1" applyBorder="1" applyAlignment="1">
      <alignment horizontal="center" vertical="center"/>
    </xf>
    <xf numFmtId="0" fontId="22" fillId="10" borderId="31" xfId="0" applyFont="1" applyFill="1" applyBorder="1" applyAlignment="1">
      <alignment vertical="top" wrapText="1"/>
    </xf>
    <xf numFmtId="0" fontId="22" fillId="10" borderId="71" xfId="0" applyFont="1" applyFill="1" applyBorder="1" applyAlignment="1">
      <alignment vertical="top" wrapText="1"/>
    </xf>
    <xf numFmtId="0" fontId="22" fillId="10" borderId="13" xfId="0" applyFont="1" applyFill="1" applyBorder="1" applyAlignment="1">
      <alignment vertical="top" wrapText="1"/>
    </xf>
    <xf numFmtId="0" fontId="22" fillId="10" borderId="72" xfId="0" applyFont="1" applyFill="1" applyBorder="1" applyAlignment="1">
      <alignment vertical="top" wrapText="1"/>
    </xf>
    <xf numFmtId="0" fontId="5" fillId="10" borderId="48" xfId="0" applyFont="1" applyFill="1" applyBorder="1" applyAlignment="1">
      <alignment horizontal="center" vertical="center" wrapText="1"/>
    </xf>
    <xf numFmtId="0" fontId="5" fillId="10" borderId="25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5" fillId="10" borderId="47" xfId="0" applyFont="1" applyFill="1" applyBorder="1" applyAlignment="1">
      <alignment horizontal="center" vertical="center" wrapText="1"/>
    </xf>
    <xf numFmtId="49" fontId="23" fillId="10" borderId="31" xfId="0" applyNumberFormat="1" applyFont="1" applyFill="1" applyBorder="1" applyAlignment="1">
      <alignment vertical="top" wrapText="1"/>
    </xf>
    <xf numFmtId="49" fontId="23" fillId="10" borderId="13" xfId="0" applyNumberFormat="1" applyFont="1" applyFill="1" applyBorder="1" applyAlignment="1">
      <alignment vertical="top" wrapText="1"/>
    </xf>
    <xf numFmtId="0" fontId="5" fillId="10" borderId="71" xfId="0" applyFont="1" applyFill="1" applyBorder="1" applyAlignment="1">
      <alignment horizontal="center" vertical="top" wrapText="1"/>
    </xf>
    <xf numFmtId="0" fontId="5" fillId="10" borderId="70" xfId="0" applyFont="1" applyFill="1" applyBorder="1" applyAlignment="1">
      <alignment horizontal="center" vertical="top" wrapText="1"/>
    </xf>
    <xf numFmtId="0" fontId="5" fillId="10" borderId="13" xfId="0" applyFont="1" applyFill="1" applyBorder="1" applyAlignment="1">
      <alignment vertical="top" wrapText="1"/>
    </xf>
    <xf numFmtId="0" fontId="5" fillId="10" borderId="68" xfId="0" applyFont="1" applyFill="1" applyBorder="1" applyAlignment="1">
      <alignment horizontal="left" vertical="center"/>
    </xf>
    <xf numFmtId="0" fontId="5" fillId="10" borderId="50" xfId="0" applyFont="1" applyFill="1" applyBorder="1" applyAlignment="1">
      <alignment horizontal="left" vertical="center"/>
    </xf>
    <xf numFmtId="0" fontId="5" fillId="10" borderId="49" xfId="0" applyFont="1" applyFill="1" applyBorder="1" applyAlignment="1">
      <alignment horizontal="left" vertical="center" wrapText="1"/>
    </xf>
    <xf numFmtId="0" fontId="5" fillId="10" borderId="51" xfId="0" applyFont="1" applyFill="1" applyBorder="1" applyAlignment="1">
      <alignment horizontal="left" vertical="center" wrapText="1"/>
    </xf>
    <xf numFmtId="0" fontId="5" fillId="10" borderId="54" xfId="0" applyFont="1" applyFill="1" applyBorder="1" applyAlignment="1">
      <alignment horizontal="center" vertical="top" wrapText="1"/>
    </xf>
    <xf numFmtId="0" fontId="5" fillId="10" borderId="65" xfId="0" applyFont="1" applyFill="1" applyBorder="1" applyAlignment="1">
      <alignment horizontal="center" vertical="center"/>
    </xf>
    <xf numFmtId="0" fontId="5" fillId="10" borderId="66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/>
    </xf>
    <xf numFmtId="0" fontId="5" fillId="10" borderId="0" xfId="0" applyFont="1" applyFill="1" applyAlignment="1">
      <alignment horizontal="center"/>
    </xf>
    <xf numFmtId="0" fontId="5" fillId="10" borderId="52" xfId="0" applyFont="1" applyFill="1" applyBorder="1" applyAlignment="1">
      <alignment horizontal="left" vertical="center"/>
    </xf>
    <xf numFmtId="0" fontId="5" fillId="10" borderId="67" xfId="0" applyFont="1" applyFill="1" applyBorder="1" applyAlignment="1">
      <alignment horizontal="left" vertical="center"/>
    </xf>
    <xf numFmtId="0" fontId="5" fillId="10" borderId="53" xfId="0" applyFont="1" applyFill="1" applyBorder="1" applyAlignment="1">
      <alignment horizontal="left" vertical="center"/>
    </xf>
    <xf numFmtId="168" fontId="1" fillId="0" borderId="0" xfId="8" applyNumberFormat="1" applyAlignment="1">
      <alignment horizontal="left"/>
    </xf>
    <xf numFmtId="0" fontId="1" fillId="0" borderId="16" xfId="8" applyBorder="1" applyAlignment="1">
      <alignment horizontal="center" vertical="center"/>
    </xf>
    <xf numFmtId="49" fontId="1" fillId="0" borderId="0" xfId="8" applyNumberFormat="1" applyAlignment="1" applyProtection="1">
      <alignment horizontal="left"/>
      <protection locked="0"/>
    </xf>
    <xf numFmtId="0" fontId="6" fillId="0" borderId="0" xfId="8" applyFont="1" applyAlignment="1">
      <alignment horizontal="left" vertical="center"/>
    </xf>
    <xf numFmtId="0" fontId="1" fillId="0" borderId="0" xfId="8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center"/>
    </xf>
    <xf numFmtId="0" fontId="18" fillId="0" borderId="0" xfId="0" quotePrefix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top"/>
    </xf>
    <xf numFmtId="0" fontId="21" fillId="0" borderId="8" xfId="8" applyFont="1" applyBorder="1" applyAlignment="1">
      <alignment horizontal="center" vertical="center" wrapText="1"/>
    </xf>
    <xf numFmtId="49" fontId="1" fillId="9" borderId="9" xfId="8" applyNumberFormat="1" applyFill="1" applyBorder="1" applyAlignment="1" applyProtection="1">
      <alignment horizontal="left" vertical="top" wrapText="1"/>
      <protection locked="0"/>
    </xf>
    <xf numFmtId="49" fontId="1" fillId="9" borderId="2" xfId="8" applyNumberFormat="1" applyFill="1" applyBorder="1" applyAlignment="1" applyProtection="1">
      <alignment horizontal="left" vertical="top" wrapText="1"/>
      <protection locked="0"/>
    </xf>
    <xf numFmtId="49" fontId="1" fillId="9" borderId="11" xfId="8" applyNumberFormat="1" applyFill="1" applyBorder="1" applyAlignment="1" applyProtection="1">
      <alignment horizontal="left" vertical="top" wrapText="1"/>
      <protection locked="0"/>
    </xf>
    <xf numFmtId="168" fontId="1" fillId="0" borderId="18" xfId="8" applyNumberFormat="1" applyBorder="1" applyAlignment="1">
      <alignment horizontal="left"/>
    </xf>
    <xf numFmtId="169" fontId="1" fillId="0" borderId="18" xfId="8" applyNumberFormat="1" applyBorder="1" applyAlignment="1">
      <alignment horizontal="left"/>
    </xf>
    <xf numFmtId="0" fontId="2" fillId="0" borderId="0" xfId="8" applyFont="1" applyAlignment="1">
      <alignment horizontal="left" vertical="center"/>
    </xf>
    <xf numFmtId="0" fontId="17" fillId="0" borderId="0" xfId="8" applyFont="1" applyAlignment="1">
      <alignment horizontal="left" vertical="center" indent="1"/>
    </xf>
    <xf numFmtId="0" fontId="1" fillId="0" borderId="8" xfId="8" applyBorder="1" applyAlignment="1">
      <alignment horizontal="left" vertical="center" wrapText="1"/>
    </xf>
    <xf numFmtId="0" fontId="1" fillId="0" borderId="8" xfId="8" applyBorder="1" applyAlignment="1">
      <alignment horizontal="left" vertical="center"/>
    </xf>
    <xf numFmtId="0" fontId="14" fillId="0" borderId="0" xfId="8" applyFont="1" applyAlignment="1">
      <alignment horizontal="left" vertical="center" wrapText="1"/>
    </xf>
    <xf numFmtId="2" fontId="15" fillId="0" borderId="16" xfId="8" applyNumberFormat="1" applyFont="1" applyBorder="1" applyAlignment="1">
      <alignment horizontal="center" vertical="center"/>
    </xf>
    <xf numFmtId="0" fontId="7" fillId="0" borderId="8" xfId="8" applyFont="1" applyBorder="1" applyAlignment="1">
      <alignment horizontal="left"/>
    </xf>
    <xf numFmtId="10" fontId="7" fillId="9" borderId="8" xfId="8" applyNumberFormat="1" applyFont="1" applyFill="1" applyBorder="1" applyAlignment="1" applyProtection="1">
      <alignment horizontal="center"/>
      <protection locked="0"/>
    </xf>
    <xf numFmtId="0" fontId="6" fillId="0" borderId="8" xfId="8" applyFont="1" applyBorder="1" applyAlignment="1">
      <alignment horizontal="center" vertical="center"/>
    </xf>
    <xf numFmtId="4" fontId="6" fillId="0" borderId="8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/>
    </xf>
    <xf numFmtId="0" fontId="2" fillId="0" borderId="10" xfId="11" applyFont="1" applyBorder="1" applyAlignment="1">
      <alignment horizontal="left" vertical="top"/>
    </xf>
    <xf numFmtId="0" fontId="2" fillId="0" borderId="0" xfId="11" applyFont="1" applyAlignment="1">
      <alignment horizontal="left" vertical="top"/>
    </xf>
    <xf numFmtId="0" fontId="2" fillId="0" borderId="14" xfId="11" applyFont="1" applyBorder="1" applyAlignment="1">
      <alignment horizontal="left" vertical="top"/>
    </xf>
    <xf numFmtId="164" fontId="7" fillId="9" borderId="17" xfId="12" applyFont="1" applyFill="1" applyBorder="1" applyAlignment="1" applyProtection="1">
      <alignment horizontal="left"/>
      <protection locked="0"/>
    </xf>
    <xf numFmtId="164" fontId="7" fillId="9" borderId="18" xfId="12" applyFont="1" applyFill="1" applyBorder="1" applyAlignment="1" applyProtection="1">
      <alignment horizontal="left"/>
      <protection locked="0"/>
    </xf>
    <xf numFmtId="164" fontId="7" fillId="9" borderId="26" xfId="12" applyFont="1" applyFill="1" applyBorder="1" applyAlignment="1" applyProtection="1">
      <alignment horizontal="left"/>
      <protection locked="0"/>
    </xf>
    <xf numFmtId="0" fontId="1" fillId="0" borderId="17" xfId="8" applyBorder="1" applyAlignment="1">
      <alignment horizontal="center" vertical="top" wrapText="1"/>
    </xf>
    <xf numFmtId="0" fontId="1" fillId="0" borderId="26" xfId="8" applyBorder="1" applyAlignment="1">
      <alignment horizontal="center" vertical="top" wrapText="1"/>
    </xf>
    <xf numFmtId="0" fontId="7" fillId="0" borderId="8" xfId="8" applyFont="1" applyBorder="1" applyAlignment="1">
      <alignment horizontal="left" wrapText="1"/>
    </xf>
    <xf numFmtId="0" fontId="7" fillId="0" borderId="29" xfId="12" applyNumberFormat="1" applyFont="1" applyFill="1" applyBorder="1" applyAlignment="1" applyProtection="1">
      <alignment horizontal="left" wrapText="1"/>
    </xf>
    <xf numFmtId="0" fontId="1" fillId="0" borderId="17" xfId="8" applyBorder="1" applyAlignment="1">
      <alignment horizontal="left" vertical="top" wrapText="1"/>
    </xf>
    <xf numFmtId="0" fontId="1" fillId="0" borderId="26" xfId="8" applyBorder="1" applyAlignment="1">
      <alignment horizontal="left" vertical="top" wrapText="1"/>
    </xf>
    <xf numFmtId="49" fontId="1" fillId="0" borderId="17" xfId="8" applyNumberFormat="1" applyBorder="1" applyAlignment="1">
      <alignment horizontal="left" vertical="top" wrapText="1"/>
    </xf>
    <xf numFmtId="0" fontId="1" fillId="0" borderId="18" xfId="8" applyBorder="1" applyAlignment="1">
      <alignment horizontal="left" vertical="top" wrapText="1"/>
    </xf>
  </cellXfs>
  <cellStyles count="13">
    <cellStyle name="Moeda 2" xfId="1" xr:uid="{00000000-0005-0000-0000-000000000000}"/>
    <cellStyle name="Moeda 2 2" xfId="7" xr:uid="{00000000-0005-0000-0000-000001000000}"/>
    <cellStyle name="Moeda_Composicao BDI v2.1" xfId="12" xr:uid="{00000000-0005-0000-0000-000002000000}"/>
    <cellStyle name="Normal" xfId="0" builtinId="0"/>
    <cellStyle name="Normal 2" xfId="2" xr:uid="{00000000-0005-0000-0000-000004000000}"/>
    <cellStyle name="Normal 2 2" xfId="8" xr:uid="{00000000-0005-0000-0000-000005000000}"/>
    <cellStyle name="Normal_FICHA DE VERIFICAÇÃO PRELIMINAR - Plano R" xfId="11" xr:uid="{00000000-0005-0000-0000-000006000000}"/>
    <cellStyle name="Porcentagem" xfId="3" builtinId="5"/>
    <cellStyle name="Porcentagem 2" xfId="4" xr:uid="{00000000-0005-0000-0000-000008000000}"/>
    <cellStyle name="Porcentagem 2 2" xfId="9" xr:uid="{00000000-0005-0000-0000-000009000000}"/>
    <cellStyle name="Vírgula" xfId="5" builtinId="3"/>
    <cellStyle name="Vírgula 2" xfId="6" xr:uid="{00000000-0005-0000-0000-00000B000000}"/>
    <cellStyle name="Vírgula 2 2" xfId="10" xr:uid="{00000000-0005-0000-0000-00000C000000}"/>
  </cellStyles>
  <dxfs count="9">
    <dxf>
      <fill>
        <patternFill>
          <bgColor rgb="FFFFFF9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ill>
        <patternFill>
          <bgColor rgb="FFFFFF9E"/>
        </patternFill>
      </fill>
    </dxf>
    <dxf>
      <font>
        <condense val="0"/>
        <extend val="0"/>
        <color indexed="17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10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ont>
        <b/>
        <i val="0"/>
        <color theme="1"/>
      </font>
      <fill>
        <patternFill>
          <bgColor theme="0" tint="-0.1499679555650502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15</xdr:row>
      <xdr:rowOff>0</xdr:rowOff>
    </xdr:from>
    <xdr:to>
      <xdr:col>32</xdr:col>
      <xdr:colOff>0</xdr:colOff>
      <xdr:row>15</xdr:row>
      <xdr:rowOff>0</xdr:rowOff>
    </xdr:to>
    <xdr:sp macro="" textlink="">
      <xdr:nvSpPr>
        <xdr:cNvPr id="10659" name="Oval 1">
          <a:extLst>
            <a:ext uri="{FF2B5EF4-FFF2-40B4-BE49-F238E27FC236}">
              <a16:creationId xmlns:a16="http://schemas.microsoft.com/office/drawing/2014/main" id="{00000000-0008-0000-0000-0000A3290000}"/>
            </a:ext>
          </a:extLst>
        </xdr:cNvPr>
        <xdr:cNvSpPr>
          <a:spLocks noChangeArrowheads="1"/>
        </xdr:cNvSpPr>
      </xdr:nvSpPr>
      <xdr:spPr bwMode="auto">
        <a:xfrm>
          <a:off x="8086725" y="2076450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0" name="Desenhando 59">
          <a:extLst>
            <a:ext uri="{FF2B5EF4-FFF2-40B4-BE49-F238E27FC236}">
              <a16:creationId xmlns:a16="http://schemas.microsoft.com/office/drawing/2014/main" id="{00000000-0008-0000-0000-0000A4290000}"/>
            </a:ext>
          </a:extLst>
        </xdr:cNvPr>
        <xdr:cNvSpPr>
          <a:spLocks/>
        </xdr:cNvSpPr>
      </xdr:nvSpPr>
      <xdr:spPr bwMode="auto">
        <a:xfrm>
          <a:off x="9620250" y="2076450"/>
          <a:ext cx="0" cy="0"/>
        </a:xfrm>
        <a:custGeom>
          <a:avLst/>
          <a:gdLst>
            <a:gd name="T0" fmla="*/ 0 w 16384"/>
            <a:gd name="T1" fmla="*/ 0 h 16384"/>
            <a:gd name="T2" fmla="*/ 0 w 16384"/>
            <a:gd name="T3" fmla="*/ 0 h 16384"/>
            <a:gd name="T4" fmla="*/ 0 w 16384"/>
            <a:gd name="T5" fmla="*/ 0 h 16384"/>
            <a:gd name="T6" fmla="*/ 0 w 16384"/>
            <a:gd name="T7" fmla="*/ 0 h 16384"/>
            <a:gd name="T8" fmla="*/ 0 60000 65536"/>
            <a:gd name="T9" fmla="*/ 0 60000 65536"/>
            <a:gd name="T10" fmla="*/ 0 60000 65536"/>
            <a:gd name="T11" fmla="*/ 0 60000 65536"/>
            <a:gd name="T12" fmla="*/ 0 w 16384"/>
            <a:gd name="T13" fmla="*/ 0 h 16384"/>
            <a:gd name="T14" fmla="*/ 16384 w 16384"/>
            <a:gd name="T15" fmla="*/ 16384 h 16384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16384" h="16384">
              <a:moveTo>
                <a:pt x="0" y="0"/>
              </a:moveTo>
              <a:lnTo>
                <a:pt x="16384" y="0"/>
              </a:lnTo>
              <a:lnTo>
                <a:pt x="7490" y="16384"/>
              </a:lnTo>
              <a:lnTo>
                <a:pt x="0" y="0"/>
              </a:lnTo>
              <a:close/>
            </a:path>
          </a:pathLst>
        </a:custGeom>
        <a:solidFill>
          <a:srgbClr val="00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39</xdr:col>
      <xdr:colOff>0</xdr:colOff>
      <xdr:row>15</xdr:row>
      <xdr:rowOff>0</xdr:rowOff>
    </xdr:from>
    <xdr:to>
      <xdr:col>39</xdr:col>
      <xdr:colOff>0</xdr:colOff>
      <xdr:row>15</xdr:row>
      <xdr:rowOff>0</xdr:rowOff>
    </xdr:to>
    <xdr:sp macro="" textlink="">
      <xdr:nvSpPr>
        <xdr:cNvPr id="10661" name="Rectangle 3">
          <a:extLst>
            <a:ext uri="{FF2B5EF4-FFF2-40B4-BE49-F238E27FC236}">
              <a16:creationId xmlns:a16="http://schemas.microsoft.com/office/drawing/2014/main" id="{00000000-0008-0000-0000-0000A5290000}"/>
            </a:ext>
          </a:extLst>
        </xdr:cNvPr>
        <xdr:cNvSpPr>
          <a:spLocks noChangeArrowheads="1"/>
        </xdr:cNvSpPr>
      </xdr:nvSpPr>
      <xdr:spPr bwMode="auto">
        <a:xfrm>
          <a:off x="9620250" y="2076450"/>
          <a:ext cx="0" cy="0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638175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171575" y="0"/>
          <a:ext cx="107727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/>
          <a:r>
            <a:rPr lang="pt-BR" sz="1100">
              <a:effectLst/>
              <a:latin typeface="+mn-lt"/>
              <a:ea typeface="+mn-ea"/>
              <a:cs typeface="+mn-cs"/>
            </a:rPr>
            <a:t> </a:t>
          </a:r>
          <a:endParaRPr lang="pt-BR" sz="1100" b="0" i="0" u="none" strike="noStrike" baseline="0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sp macro="" textlink="">
      <xdr:nvSpPr>
        <xdr:cNvPr id="2" name="Object 476" hidden="1">
          <a:extLst>
            <a:ext uri="{63B3BB69-23CF-44E3-9099-C40C66FF867C}">
              <a14:compatExt xmlns:a14="http://schemas.microsoft.com/office/drawing/2010/main" spid="_x0000_s156124"/>
            </a:ex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190500</xdr:colOff>
          <xdr:row>0</xdr:row>
          <xdr:rowOff>0</xdr:rowOff>
        </xdr:from>
        <xdr:to>
          <xdr:col>18</xdr:col>
          <xdr:colOff>19050</xdr:colOff>
          <xdr:row>1</xdr:row>
          <xdr:rowOff>133350</xdr:rowOff>
        </xdr:to>
        <xdr:pic>
          <xdr:nvPicPr>
            <xdr:cNvPr id="3" name="SigiloPic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PicPr>
              <a:picLocks noChangeArrowheads="1"/>
              <a:extLst>
                <a:ext uri="{84589F7E-364E-4C9E-8A38-B11213B215E9}">
                  <a14:cameraTool cellRange="[1]PO!$T$1:$T$2" spid="_x0000_s5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543550" y="0"/>
              <a:ext cx="1047750" cy="3333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8</xdr:col>
      <xdr:colOff>28575</xdr:colOff>
      <xdr:row>0</xdr:row>
      <xdr:rowOff>19050</xdr:rowOff>
    </xdr:from>
    <xdr:to>
      <xdr:col>10</xdr:col>
      <xdr:colOff>600075</xdr:colOff>
      <xdr:row>2</xdr:row>
      <xdr:rowOff>76200</xdr:rowOff>
    </xdr:to>
    <xdr:pic>
      <xdr:nvPicPr>
        <xdr:cNvPr id="4" name="Picture 47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"/>
          <a:ext cx="17907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8</xdr:col>
      <xdr:colOff>253157</xdr:colOff>
      <xdr:row>14</xdr:row>
      <xdr:rowOff>99060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A5C6438-50DC-F9B4-C3E8-8BAFA1C96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5129957" cy="2446019"/>
        </a:xfrm>
        <a:prstGeom prst="rect">
          <a:avLst/>
        </a:prstGeom>
      </xdr:spPr>
    </xdr:pic>
    <xdr:clientData/>
  </xdr:twoCellAnchor>
  <xdr:twoCellAnchor editAs="oneCell">
    <xdr:from>
      <xdr:col>0</xdr:col>
      <xdr:colOff>2</xdr:colOff>
      <xdr:row>16</xdr:row>
      <xdr:rowOff>1</xdr:rowOff>
    </xdr:from>
    <xdr:to>
      <xdr:col>9</xdr:col>
      <xdr:colOff>128568</xdr:colOff>
      <xdr:row>30</xdr:row>
      <xdr:rowOff>91441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C8806A7-0263-CA16-A0D2-6BF6D8E44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" y="2682241"/>
          <a:ext cx="5614966" cy="2438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9</xdr:col>
      <xdr:colOff>540143</xdr:colOff>
      <xdr:row>50</xdr:row>
      <xdr:rowOff>68580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2C8D02D-D6A0-A9DF-2DDF-E16F4F69D5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364480"/>
          <a:ext cx="6026543" cy="3086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GENHARIA/Desktop/Modelo%20Planilha%20CAIXA%20-%20MO274760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BDI (1)"/>
      <sheetName val="PO"/>
      <sheetName val="PLQ"/>
      <sheetName val="CFF"/>
    </sheetNames>
    <sheetDataSet>
      <sheetData sheetId="0" refreshError="1">
        <row r="29">
          <cell r="A29">
            <v>0</v>
          </cell>
        </row>
        <row r="32">
          <cell r="A32" t="str">
            <v>PREFEITURA MUNICPAL DE PAPAGAIOS</v>
          </cell>
        </row>
        <row r="56">
          <cell r="A56" t="str">
            <v>CREA/CAU:</v>
          </cell>
        </row>
        <row r="57">
          <cell r="A57" t="str">
            <v>ART/RRT:</v>
          </cell>
        </row>
      </sheetData>
      <sheetData sheetId="1" refreshError="1"/>
      <sheetData sheetId="2" refreshError="1">
        <row r="45">
          <cell r="K45" t="str">
            <v>PAPAGAIOS / MG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89"/>
  <sheetViews>
    <sheetView tabSelected="1" zoomScaleNormal="100" workbookViewId="0">
      <selection activeCell="F46" sqref="F46:Q46"/>
    </sheetView>
  </sheetViews>
  <sheetFormatPr defaultColWidth="9.140625" defaultRowHeight="12" x14ac:dyDescent="0.2"/>
  <cols>
    <col min="1" max="1" width="5.42578125" style="10" customWidth="1"/>
    <col min="2" max="2" width="7.28515625" style="10" customWidth="1"/>
    <col min="3" max="3" width="5.85546875" style="10" customWidth="1"/>
    <col min="4" max="4" width="15" style="10" customWidth="1"/>
    <col min="5" max="5" width="11.7109375" style="10" customWidth="1"/>
    <col min="6" max="6" width="4.42578125" style="10" customWidth="1"/>
    <col min="7" max="10" width="3.28515625" style="10" customWidth="1"/>
    <col min="11" max="14" width="3.28515625" style="1" customWidth="1"/>
    <col min="15" max="15" width="3.140625" style="1" customWidth="1"/>
    <col min="16" max="16" width="3.28515625" style="1" customWidth="1"/>
    <col min="17" max="17" width="25.7109375" style="1" customWidth="1"/>
    <col min="18" max="18" width="2.42578125" style="1" hidden="1" customWidth="1"/>
    <col min="19" max="19" width="3.28515625" style="2" customWidth="1"/>
    <col min="20" max="20" width="4.5703125" style="1" customWidth="1"/>
    <col min="21" max="21" width="3.28515625" style="1" customWidth="1"/>
    <col min="22" max="22" width="3.85546875" style="1" customWidth="1"/>
    <col min="23" max="23" width="9" style="1" customWidth="1"/>
    <col min="24" max="25" width="3.28515625" style="2" customWidth="1"/>
    <col min="26" max="26" width="9.5703125" style="2" customWidth="1"/>
    <col min="27" max="27" width="3.28515625" style="2" customWidth="1"/>
    <col min="28" max="28" width="2.7109375" style="2" customWidth="1"/>
    <col min="29" max="29" width="2.140625" style="2" hidden="1" customWidth="1"/>
    <col min="30" max="30" width="28.42578125" style="2" bestFit="1" customWidth="1"/>
    <col min="31" max="32" width="3.28515625" style="2" customWidth="1"/>
    <col min="33" max="33" width="8" style="2" customWidth="1"/>
    <col min="34" max="38" width="3.28515625" style="1" customWidth="1"/>
    <col min="39" max="39" width="10.28515625" style="1" customWidth="1"/>
    <col min="40" max="40" width="4.85546875" style="1" hidden="1" customWidth="1"/>
    <col min="41" max="41" width="3.28515625" style="1" customWidth="1"/>
    <col min="42" max="42" width="11.28515625" style="1" customWidth="1"/>
    <col min="43" max="43" width="3.28515625" style="1" customWidth="1"/>
    <col min="44" max="44" width="11" style="1" bestFit="1" customWidth="1"/>
    <col min="45" max="45" width="6.85546875" style="1" customWidth="1"/>
    <col min="46" max="46" width="4.42578125" style="2" customWidth="1"/>
    <col min="47" max="47" width="7.140625" style="1" customWidth="1"/>
    <col min="48" max="48" width="3.28515625" style="1" customWidth="1"/>
    <col min="49" max="49" width="11.5703125" style="1" customWidth="1"/>
    <col min="50" max="55" width="3.28515625" style="1" customWidth="1"/>
    <col min="56" max="16384" width="9.140625" style="1"/>
  </cols>
  <sheetData>
    <row r="1" spans="1:46" ht="6.75" customHeight="1" x14ac:dyDescent="0.2">
      <c r="A1" s="39"/>
      <c r="B1" s="40"/>
      <c r="C1" s="40"/>
      <c r="D1" s="40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67"/>
      <c r="T1" s="41"/>
      <c r="U1" s="41"/>
      <c r="V1" s="41"/>
      <c r="W1" s="41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41"/>
      <c r="AI1" s="41"/>
      <c r="AJ1" s="41"/>
      <c r="AK1" s="41"/>
      <c r="AL1" s="41"/>
      <c r="AM1" s="42"/>
    </row>
    <row r="2" spans="1:46" ht="12.75" customHeight="1" x14ac:dyDescent="0.2">
      <c r="A2" s="242" t="s">
        <v>6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3"/>
      <c r="AK2" s="243"/>
      <c r="AL2" s="243"/>
      <c r="AM2" s="244"/>
    </row>
    <row r="3" spans="1:46" ht="12" customHeight="1" x14ac:dyDescent="0.2">
      <c r="A3" s="242"/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3"/>
      <c r="AD3" s="243"/>
      <c r="AE3" s="243"/>
      <c r="AF3" s="243"/>
      <c r="AG3" s="243"/>
      <c r="AH3" s="243"/>
      <c r="AI3" s="243"/>
      <c r="AJ3" s="243"/>
      <c r="AK3" s="243"/>
      <c r="AL3" s="243"/>
      <c r="AM3" s="244"/>
    </row>
    <row r="4" spans="1:46" ht="4.5" customHeight="1" x14ac:dyDescent="0.2">
      <c r="A4" s="68"/>
      <c r="B4" s="69"/>
      <c r="C4" s="69"/>
      <c r="D4" s="69"/>
      <c r="E4" s="69"/>
      <c r="F4" s="69"/>
      <c r="G4" s="69"/>
      <c r="H4" s="70"/>
      <c r="I4" s="69"/>
      <c r="J4" s="69"/>
      <c r="K4" s="69"/>
      <c r="L4" s="69"/>
      <c r="M4" s="69"/>
      <c r="N4" s="69"/>
      <c r="O4" s="69"/>
      <c r="P4" s="69"/>
      <c r="Q4" s="69"/>
      <c r="R4" s="69"/>
      <c r="S4" s="71"/>
      <c r="T4" s="69"/>
      <c r="U4" s="69"/>
      <c r="V4" s="69"/>
      <c r="W4" s="69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69"/>
      <c r="AI4" s="69"/>
      <c r="AJ4" s="69"/>
      <c r="AK4" s="69"/>
      <c r="AL4" s="69"/>
      <c r="AM4" s="72"/>
    </row>
    <row r="5" spans="1:46" ht="13.5" customHeight="1" x14ac:dyDescent="0.2">
      <c r="A5" s="245"/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73"/>
      <c r="Z5" s="73"/>
      <c r="AA5" s="73"/>
      <c r="AB5" s="73"/>
      <c r="AC5" s="73"/>
      <c r="AD5" s="247"/>
      <c r="AE5" s="247"/>
      <c r="AF5" s="247"/>
      <c r="AG5" s="247"/>
      <c r="AH5" s="247"/>
      <c r="AI5" s="247"/>
      <c r="AJ5" s="247"/>
      <c r="AK5" s="247"/>
      <c r="AL5" s="247"/>
      <c r="AM5" s="248"/>
    </row>
    <row r="6" spans="1:46" ht="5.25" customHeight="1" x14ac:dyDescent="0.2">
      <c r="A6" s="74"/>
      <c r="B6" s="75"/>
      <c r="C6" s="75"/>
      <c r="D6" s="75"/>
      <c r="E6" s="75"/>
      <c r="F6" s="75"/>
      <c r="G6" s="75"/>
      <c r="H6" s="75"/>
      <c r="I6" s="75"/>
      <c r="J6" s="75"/>
      <c r="K6" s="76"/>
      <c r="L6" s="69"/>
      <c r="M6" s="69"/>
      <c r="N6" s="69"/>
      <c r="O6" s="69"/>
      <c r="P6" s="69"/>
      <c r="Q6" s="69"/>
      <c r="R6" s="69"/>
      <c r="S6" s="71"/>
      <c r="T6" s="69"/>
      <c r="U6" s="69"/>
      <c r="V6" s="69"/>
      <c r="W6" s="69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69"/>
      <c r="AI6" s="69"/>
      <c r="AJ6" s="69"/>
      <c r="AK6" s="69"/>
      <c r="AL6" s="69"/>
      <c r="AM6" s="72"/>
    </row>
    <row r="7" spans="1:46" ht="12" customHeight="1" x14ac:dyDescent="0.2">
      <c r="A7" s="74" t="s">
        <v>7</v>
      </c>
      <c r="B7" s="78"/>
      <c r="C7" s="78"/>
      <c r="D7" s="78"/>
      <c r="E7" s="78"/>
      <c r="F7" s="78"/>
      <c r="G7" s="78"/>
      <c r="H7" s="78"/>
      <c r="I7" s="69"/>
      <c r="J7" s="69"/>
      <c r="K7" s="69"/>
      <c r="L7" s="69"/>
      <c r="M7" s="69"/>
      <c r="N7" s="69"/>
      <c r="O7" s="69"/>
      <c r="P7" s="69"/>
      <c r="Q7" s="69"/>
      <c r="R7" s="69"/>
      <c r="S7" s="71"/>
      <c r="T7" s="69"/>
      <c r="U7" s="69"/>
      <c r="V7" s="69"/>
      <c r="W7" s="78"/>
      <c r="X7" s="71"/>
      <c r="Y7" s="71"/>
      <c r="Z7" s="71"/>
      <c r="AA7" s="71"/>
      <c r="AB7" s="65"/>
      <c r="AC7" s="71"/>
      <c r="AD7" s="101" t="s">
        <v>8</v>
      </c>
      <c r="AE7" s="71"/>
      <c r="AF7" s="71"/>
      <c r="AG7" s="71"/>
      <c r="AH7" s="69"/>
      <c r="AI7" s="69"/>
      <c r="AJ7" s="69"/>
      <c r="AK7" s="69"/>
      <c r="AL7" s="69"/>
      <c r="AM7" s="72"/>
    </row>
    <row r="8" spans="1:46" ht="14.1" customHeight="1" x14ac:dyDescent="0.2">
      <c r="A8" s="249" t="s">
        <v>54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1"/>
      <c r="AD8" s="252"/>
      <c r="AE8" s="253"/>
      <c r="AF8" s="253"/>
      <c r="AG8" s="253"/>
      <c r="AH8" s="253"/>
      <c r="AI8" s="253"/>
      <c r="AJ8" s="253"/>
      <c r="AK8" s="253"/>
      <c r="AL8" s="253"/>
      <c r="AM8" s="254"/>
    </row>
    <row r="9" spans="1:46" s="3" customFormat="1" ht="5.25" customHeight="1" x14ac:dyDescent="0.2">
      <c r="A9" s="77"/>
      <c r="B9" s="78"/>
      <c r="C9" s="78"/>
      <c r="D9" s="78"/>
      <c r="E9" s="78"/>
      <c r="F9" s="78"/>
      <c r="G9" s="78"/>
      <c r="H9" s="78"/>
      <c r="I9" s="78"/>
      <c r="J9" s="78"/>
      <c r="K9" s="69"/>
      <c r="L9" s="69"/>
      <c r="M9" s="69"/>
      <c r="N9" s="69"/>
      <c r="O9" s="69"/>
      <c r="P9" s="69"/>
      <c r="Q9" s="69"/>
      <c r="R9" s="69"/>
      <c r="S9" s="71"/>
      <c r="T9" s="69"/>
      <c r="U9" s="69"/>
      <c r="V9" s="69"/>
      <c r="W9" s="69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69"/>
      <c r="AI9" s="69"/>
      <c r="AJ9" s="69"/>
      <c r="AK9" s="69"/>
      <c r="AL9" s="69"/>
      <c r="AM9" s="72"/>
      <c r="AT9" s="4"/>
    </row>
    <row r="10" spans="1:46" ht="12" customHeight="1" x14ac:dyDescent="0.2">
      <c r="A10" s="74" t="s">
        <v>9</v>
      </c>
      <c r="B10" s="78"/>
      <c r="C10" s="78"/>
      <c r="D10" s="78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71"/>
      <c r="T10" s="69"/>
      <c r="U10" s="69"/>
      <c r="V10" s="69"/>
      <c r="W10" s="102" t="s">
        <v>10</v>
      </c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69"/>
      <c r="AI10" s="69"/>
      <c r="AJ10" s="69"/>
      <c r="AK10" s="69"/>
      <c r="AL10" s="79" t="s">
        <v>11</v>
      </c>
      <c r="AM10" s="72"/>
    </row>
    <row r="11" spans="1:46" ht="34.5" customHeight="1" x14ac:dyDescent="0.2">
      <c r="A11" s="255" t="s">
        <v>139</v>
      </c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6"/>
      <c r="Q11" s="256"/>
      <c r="R11" s="256"/>
      <c r="S11" s="256"/>
      <c r="T11" s="256"/>
      <c r="U11" s="256"/>
      <c r="V11" s="257"/>
      <c r="W11" s="258" t="s">
        <v>137</v>
      </c>
      <c r="X11" s="250"/>
      <c r="Y11" s="250"/>
      <c r="Z11" s="250"/>
      <c r="AA11" s="250"/>
      <c r="AB11" s="250"/>
      <c r="AC11" s="250"/>
      <c r="AD11" s="250"/>
      <c r="AE11" s="250"/>
      <c r="AF11" s="250"/>
      <c r="AG11" s="250"/>
      <c r="AH11" s="250"/>
      <c r="AI11" s="250"/>
      <c r="AJ11" s="250"/>
      <c r="AK11" s="251"/>
      <c r="AL11" s="252" t="s">
        <v>12</v>
      </c>
      <c r="AM11" s="254"/>
    </row>
    <row r="12" spans="1:46" s="3" customFormat="1" ht="6.75" customHeight="1" x14ac:dyDescent="0.2">
      <c r="A12" s="77"/>
      <c r="B12" s="78"/>
      <c r="C12" s="78"/>
      <c r="D12" s="78"/>
      <c r="E12" s="78"/>
      <c r="F12" s="78"/>
      <c r="G12" s="78"/>
      <c r="H12" s="78"/>
      <c r="I12" s="78"/>
      <c r="J12" s="78"/>
      <c r="K12" s="69"/>
      <c r="L12" s="69"/>
      <c r="M12" s="69"/>
      <c r="N12" s="69"/>
      <c r="O12" s="69"/>
      <c r="P12" s="69"/>
      <c r="Q12" s="69"/>
      <c r="R12" s="69"/>
      <c r="S12" s="71"/>
      <c r="T12" s="69"/>
      <c r="U12" s="69"/>
      <c r="V12" s="69"/>
      <c r="W12" s="69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69"/>
      <c r="AI12" s="69"/>
      <c r="AJ12" s="69"/>
      <c r="AK12" s="69"/>
      <c r="AL12" s="69"/>
      <c r="AM12" s="72"/>
      <c r="AT12" s="4"/>
    </row>
    <row r="13" spans="1:46" ht="15.75" x14ac:dyDescent="0.2">
      <c r="A13" s="103" t="s">
        <v>13</v>
      </c>
      <c r="B13" s="69"/>
      <c r="C13" s="69"/>
      <c r="D13" s="69"/>
      <c r="E13" s="78"/>
      <c r="F13" s="78"/>
      <c r="G13" s="78"/>
      <c r="H13" s="78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71"/>
      <c r="T13" s="69"/>
      <c r="U13" s="69"/>
      <c r="V13" s="69"/>
      <c r="W13" s="102" t="s">
        <v>14</v>
      </c>
      <c r="X13" s="71"/>
      <c r="Y13" s="71"/>
      <c r="Z13" s="71"/>
      <c r="AA13" s="71"/>
      <c r="AB13" s="71"/>
      <c r="AC13" s="71"/>
      <c r="AD13" s="71"/>
      <c r="AE13" s="71"/>
      <c r="AF13" s="343" t="s">
        <v>15</v>
      </c>
      <c r="AG13" s="243"/>
      <c r="AH13" s="243"/>
      <c r="AI13" s="243"/>
      <c r="AJ13" s="243"/>
      <c r="AK13" s="243"/>
      <c r="AL13" s="243"/>
      <c r="AM13" s="244"/>
    </row>
    <row r="14" spans="1:46" ht="33" customHeight="1" x14ac:dyDescent="0.2">
      <c r="A14" s="249" t="s">
        <v>155</v>
      </c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1"/>
      <c r="W14" s="273" t="s">
        <v>140</v>
      </c>
      <c r="X14" s="274"/>
      <c r="Y14" s="274"/>
      <c r="Z14" s="274"/>
      <c r="AA14" s="274"/>
      <c r="AB14" s="274"/>
      <c r="AC14" s="274"/>
      <c r="AD14" s="274"/>
      <c r="AE14" s="275"/>
      <c r="AF14" s="276" t="s">
        <v>156</v>
      </c>
      <c r="AG14" s="277"/>
      <c r="AH14" s="277"/>
      <c r="AI14" s="277"/>
      <c r="AJ14" s="277"/>
      <c r="AK14" s="277"/>
      <c r="AL14" s="277"/>
      <c r="AM14" s="278"/>
    </row>
    <row r="15" spans="1:46" ht="6" customHeight="1" x14ac:dyDescent="0.2">
      <c r="A15" s="351" t="s">
        <v>16</v>
      </c>
      <c r="B15" s="352"/>
      <c r="C15" s="352"/>
      <c r="D15" s="352"/>
      <c r="E15" s="347" t="s">
        <v>111</v>
      </c>
      <c r="F15" s="347"/>
      <c r="G15" s="347"/>
      <c r="H15" s="347"/>
      <c r="I15" s="347"/>
      <c r="J15" s="347"/>
      <c r="K15" s="347"/>
      <c r="L15" s="347"/>
      <c r="M15" s="347"/>
      <c r="N15" s="347"/>
      <c r="O15" s="347"/>
      <c r="P15" s="347"/>
      <c r="Q15" s="347"/>
      <c r="R15" s="347"/>
      <c r="S15" s="347"/>
      <c r="T15" s="347"/>
      <c r="U15" s="347"/>
      <c r="V15" s="347"/>
      <c r="W15" s="347"/>
      <c r="X15" s="347"/>
      <c r="Y15" s="347"/>
      <c r="Z15" s="347"/>
      <c r="AA15" s="347"/>
      <c r="AB15" s="347"/>
      <c r="AC15" s="347"/>
      <c r="AD15" s="347"/>
      <c r="AE15" s="347"/>
      <c r="AF15" s="347"/>
      <c r="AG15" s="347"/>
      <c r="AH15" s="347"/>
      <c r="AI15" s="347"/>
      <c r="AJ15" s="347"/>
      <c r="AK15" s="347"/>
      <c r="AL15" s="347"/>
      <c r="AM15" s="348"/>
    </row>
    <row r="16" spans="1:46" ht="11.25" customHeight="1" x14ac:dyDescent="0.2">
      <c r="A16" s="353"/>
      <c r="B16" s="354"/>
      <c r="C16" s="354"/>
      <c r="D16" s="354"/>
      <c r="E16" s="349"/>
      <c r="F16" s="349"/>
      <c r="G16" s="349"/>
      <c r="H16" s="349"/>
      <c r="I16" s="349"/>
      <c r="J16" s="349"/>
      <c r="K16" s="349"/>
      <c r="L16" s="349"/>
      <c r="M16" s="349"/>
      <c r="N16" s="349"/>
      <c r="O16" s="349"/>
      <c r="P16" s="349"/>
      <c r="Q16" s="349"/>
      <c r="R16" s="349"/>
      <c r="S16" s="349"/>
      <c r="T16" s="349"/>
      <c r="U16" s="349"/>
      <c r="V16" s="349"/>
      <c r="W16" s="349"/>
      <c r="X16" s="349"/>
      <c r="Y16" s="349"/>
      <c r="Z16" s="349"/>
      <c r="AA16" s="349"/>
      <c r="AB16" s="349"/>
      <c r="AC16" s="349"/>
      <c r="AD16" s="349"/>
      <c r="AE16" s="349"/>
      <c r="AF16" s="349"/>
      <c r="AG16" s="349"/>
      <c r="AH16" s="349"/>
      <c r="AI16" s="349"/>
      <c r="AJ16" s="349"/>
      <c r="AK16" s="349"/>
      <c r="AL16" s="349"/>
      <c r="AM16" s="350"/>
      <c r="AN16" s="5" t="b">
        <v>0</v>
      </c>
    </row>
    <row r="17" spans="1:51" ht="6.75" customHeight="1" x14ac:dyDescent="0.2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69"/>
      <c r="L17" s="69"/>
      <c r="M17" s="69"/>
      <c r="N17" s="69"/>
      <c r="O17" s="69"/>
      <c r="P17" s="69"/>
      <c r="Q17" s="69"/>
      <c r="R17" s="69"/>
      <c r="S17" s="71"/>
      <c r="T17" s="69"/>
      <c r="U17" s="69"/>
      <c r="V17" s="69"/>
      <c r="W17" s="69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69"/>
      <c r="AI17" s="69"/>
      <c r="AJ17" s="69"/>
      <c r="AK17" s="69"/>
      <c r="AL17" s="69"/>
      <c r="AM17" s="72"/>
    </row>
    <row r="18" spans="1:51" ht="12.6" customHeight="1" x14ac:dyDescent="0.2">
      <c r="A18" s="355" t="s">
        <v>17</v>
      </c>
      <c r="B18" s="295"/>
      <c r="C18" s="295"/>
      <c r="D18" s="295"/>
      <c r="E18" s="295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5"/>
      <c r="T18" s="295"/>
      <c r="U18" s="295"/>
      <c r="V18" s="295"/>
      <c r="W18" s="356"/>
      <c r="X18" s="279" t="s">
        <v>18</v>
      </c>
      <c r="Y18" s="280"/>
      <c r="Z18" s="280"/>
      <c r="AA18" s="280"/>
      <c r="AB18" s="280"/>
      <c r="AC18" s="280"/>
      <c r="AD18" s="280"/>
      <c r="AE18" s="280"/>
      <c r="AF18" s="280"/>
      <c r="AG18" s="280"/>
      <c r="AH18" s="281"/>
      <c r="AI18" s="285">
        <v>0.23630000000000001</v>
      </c>
      <c r="AJ18" s="286"/>
      <c r="AK18" s="286"/>
      <c r="AL18" s="286"/>
      <c r="AM18" s="287"/>
    </row>
    <row r="19" spans="1:51" ht="12.6" customHeight="1" x14ac:dyDescent="0.2">
      <c r="A19" s="229"/>
      <c r="B19" s="227"/>
      <c r="C19" s="227"/>
      <c r="D19" s="227"/>
      <c r="E19" s="227"/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357"/>
      <c r="X19" s="282"/>
      <c r="Y19" s="283"/>
      <c r="Z19" s="283"/>
      <c r="AA19" s="283"/>
      <c r="AB19" s="283"/>
      <c r="AC19" s="283"/>
      <c r="AD19" s="283"/>
      <c r="AE19" s="283"/>
      <c r="AF19" s="283"/>
      <c r="AG19" s="283"/>
      <c r="AH19" s="284"/>
      <c r="AI19" s="288"/>
      <c r="AJ19" s="289"/>
      <c r="AK19" s="289"/>
      <c r="AL19" s="289"/>
      <c r="AM19" s="290"/>
    </row>
    <row r="20" spans="1:51" ht="17.25" hidden="1" customHeight="1" x14ac:dyDescent="0.2">
      <c r="A20" s="80" t="s">
        <v>19</v>
      </c>
      <c r="B20" s="81"/>
      <c r="C20" s="81"/>
      <c r="D20" s="81"/>
      <c r="E20" s="81"/>
      <c r="F20" s="81"/>
      <c r="G20" s="81"/>
      <c r="H20" s="81"/>
      <c r="I20" s="81"/>
      <c r="J20" s="82" t="s">
        <v>20</v>
      </c>
      <c r="K20" s="269">
        <v>3.2000000000000002E-3</v>
      </c>
      <c r="L20" s="269"/>
      <c r="M20" s="83" t="s">
        <v>21</v>
      </c>
      <c r="N20" s="269">
        <v>7.4000000000000003E-3</v>
      </c>
      <c r="O20" s="270"/>
      <c r="P20" s="84" t="s">
        <v>22</v>
      </c>
      <c r="Q20" s="85"/>
      <c r="R20" s="85"/>
      <c r="S20" s="83"/>
      <c r="T20" s="85"/>
      <c r="U20" s="85"/>
      <c r="V20" s="271">
        <v>7.1999999999999998E-3</v>
      </c>
      <c r="W20" s="272"/>
      <c r="X20" s="259" t="s">
        <v>136</v>
      </c>
      <c r="Y20" s="259"/>
      <c r="Z20" s="259"/>
      <c r="AA20" s="259"/>
      <c r="AB20" s="259"/>
      <c r="AC20" s="259"/>
      <c r="AD20" s="259"/>
      <c r="AE20" s="259"/>
      <c r="AF20" s="259"/>
      <c r="AG20" s="259"/>
      <c r="AH20" s="259"/>
      <c r="AI20" s="259"/>
      <c r="AJ20" s="259"/>
      <c r="AK20" s="259"/>
      <c r="AL20" s="259"/>
      <c r="AM20" s="260"/>
      <c r="AR20" s="2"/>
      <c r="AT20" s="1"/>
    </row>
    <row r="21" spans="1:51" ht="17.25" hidden="1" customHeight="1" x14ac:dyDescent="0.2">
      <c r="A21" s="86" t="s">
        <v>23</v>
      </c>
      <c r="B21" s="87"/>
      <c r="C21" s="87"/>
      <c r="D21" s="87"/>
      <c r="E21" s="87"/>
      <c r="F21" s="87"/>
      <c r="G21" s="87"/>
      <c r="H21" s="87"/>
      <c r="I21" s="87"/>
      <c r="J21" s="88" t="s">
        <v>20</v>
      </c>
      <c r="K21" s="265">
        <v>5.0000000000000001E-3</v>
      </c>
      <c r="L21" s="265"/>
      <c r="M21" s="89" t="s">
        <v>21</v>
      </c>
      <c r="N21" s="265">
        <v>9.7000000000000003E-3</v>
      </c>
      <c r="O21" s="266"/>
      <c r="P21" s="90" t="s">
        <v>24</v>
      </c>
      <c r="Q21" s="91"/>
      <c r="R21" s="91"/>
      <c r="S21" s="89"/>
      <c r="T21" s="91"/>
      <c r="U21" s="91"/>
      <c r="V21" s="267">
        <v>9.5999999999999992E-3</v>
      </c>
      <c r="W21" s="268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261"/>
      <c r="AJ21" s="261"/>
      <c r="AK21" s="261"/>
      <c r="AL21" s="261"/>
      <c r="AM21" s="262"/>
      <c r="AR21" s="2"/>
      <c r="AT21" s="1"/>
    </row>
    <row r="22" spans="1:51" ht="17.25" hidden="1" customHeight="1" x14ac:dyDescent="0.2">
      <c r="A22" s="86" t="s">
        <v>25</v>
      </c>
      <c r="B22" s="87"/>
      <c r="C22" s="87"/>
      <c r="D22" s="87"/>
      <c r="E22" s="87"/>
      <c r="F22" s="87"/>
      <c r="G22" s="87"/>
      <c r="H22" s="87"/>
      <c r="I22" s="87"/>
      <c r="J22" s="88" t="s">
        <v>20</v>
      </c>
      <c r="K22" s="265">
        <v>1.0200000000000001E-2</v>
      </c>
      <c r="L22" s="265"/>
      <c r="M22" s="89" t="s">
        <v>21</v>
      </c>
      <c r="N22" s="265">
        <v>1.21E-2</v>
      </c>
      <c r="O22" s="266"/>
      <c r="P22" s="90" t="s">
        <v>26</v>
      </c>
      <c r="Q22" s="91"/>
      <c r="R22" s="91"/>
      <c r="S22" s="89"/>
      <c r="T22" s="91"/>
      <c r="U22" s="91"/>
      <c r="V22" s="267">
        <v>1.21E-2</v>
      </c>
      <c r="W22" s="268"/>
      <c r="X22" s="261"/>
      <c r="Y22" s="261"/>
      <c r="Z22" s="261"/>
      <c r="AA22" s="261"/>
      <c r="AB22" s="261"/>
      <c r="AC22" s="261"/>
      <c r="AD22" s="261"/>
      <c r="AE22" s="261"/>
      <c r="AF22" s="261"/>
      <c r="AG22" s="261"/>
      <c r="AH22" s="261"/>
      <c r="AI22" s="261"/>
      <c r="AJ22" s="261"/>
      <c r="AK22" s="261"/>
      <c r="AL22" s="261"/>
      <c r="AM22" s="262"/>
      <c r="AR22" s="2"/>
      <c r="AT22" s="1"/>
    </row>
    <row r="23" spans="1:51" ht="17.25" hidden="1" customHeight="1" x14ac:dyDescent="0.2">
      <c r="A23" s="86" t="s">
        <v>27</v>
      </c>
      <c r="B23" s="87"/>
      <c r="C23" s="87"/>
      <c r="D23" s="87"/>
      <c r="E23" s="87"/>
      <c r="F23" s="87"/>
      <c r="G23" s="87"/>
      <c r="H23" s="87"/>
      <c r="I23" s="87"/>
      <c r="J23" s="88" t="s">
        <v>20</v>
      </c>
      <c r="K23" s="265">
        <v>3.7999999999999999E-2</v>
      </c>
      <c r="L23" s="265"/>
      <c r="M23" s="89" t="s">
        <v>21</v>
      </c>
      <c r="N23" s="265">
        <v>4.6699999999999998E-2</v>
      </c>
      <c r="O23" s="266"/>
      <c r="P23" s="90" t="s">
        <v>28</v>
      </c>
      <c r="Q23" s="91"/>
      <c r="R23" s="91"/>
      <c r="S23" s="89"/>
      <c r="T23" s="91"/>
      <c r="U23" s="91"/>
      <c r="V23" s="267">
        <v>4.6699999999999998E-2</v>
      </c>
      <c r="W23" s="268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2"/>
      <c r="AR23" s="2"/>
      <c r="AT23" s="1"/>
    </row>
    <row r="24" spans="1:51" ht="17.25" hidden="1" customHeight="1" x14ac:dyDescent="0.2">
      <c r="A24" s="86" t="s">
        <v>29</v>
      </c>
      <c r="B24" s="87"/>
      <c r="C24" s="87"/>
      <c r="D24" s="87"/>
      <c r="E24" s="87"/>
      <c r="F24" s="87"/>
      <c r="G24" s="87"/>
      <c r="H24" s="87"/>
      <c r="I24" s="87"/>
      <c r="J24" s="88" t="s">
        <v>20</v>
      </c>
      <c r="K24" s="265">
        <v>6.6400000000000001E-2</v>
      </c>
      <c r="L24" s="265"/>
      <c r="M24" s="89" t="s">
        <v>21</v>
      </c>
      <c r="N24" s="265">
        <v>8.6900000000000005E-2</v>
      </c>
      <c r="O24" s="266"/>
      <c r="P24" s="90" t="s">
        <v>30</v>
      </c>
      <c r="Q24" s="91"/>
      <c r="R24" s="91"/>
      <c r="S24" s="89"/>
      <c r="T24" s="91"/>
      <c r="U24" s="91"/>
      <c r="V24" s="267">
        <v>8.6900000000000005E-2</v>
      </c>
      <c r="W24" s="268"/>
      <c r="X24" s="261"/>
      <c r="Y24" s="261"/>
      <c r="Z24" s="261"/>
      <c r="AA24" s="261"/>
      <c r="AB24" s="261"/>
      <c r="AC24" s="261"/>
      <c r="AD24" s="261"/>
      <c r="AE24" s="261"/>
      <c r="AF24" s="261"/>
      <c r="AG24" s="261"/>
      <c r="AH24" s="261"/>
      <c r="AI24" s="261"/>
      <c r="AJ24" s="261"/>
      <c r="AK24" s="261"/>
      <c r="AL24" s="261"/>
      <c r="AM24" s="262"/>
      <c r="AT24" s="1"/>
    </row>
    <row r="25" spans="1:51" ht="17.25" hidden="1" customHeight="1" x14ac:dyDescent="0.2">
      <c r="A25" s="92" t="s">
        <v>31</v>
      </c>
      <c r="B25" s="93"/>
      <c r="C25" s="94" t="s">
        <v>41</v>
      </c>
      <c r="D25" s="94" t="s">
        <v>44</v>
      </c>
      <c r="E25" s="95" t="s">
        <v>45</v>
      </c>
      <c r="F25" s="96">
        <v>0.02</v>
      </c>
      <c r="G25" s="93"/>
      <c r="H25" s="93"/>
      <c r="I25" s="93"/>
      <c r="J25" s="310">
        <v>7.6499999999999999E-2</v>
      </c>
      <c r="K25" s="311"/>
      <c r="L25" s="311"/>
      <c r="M25" s="311"/>
      <c r="N25" s="311"/>
      <c r="O25" s="312"/>
      <c r="P25" s="97" t="s">
        <v>32</v>
      </c>
      <c r="Q25" s="98"/>
      <c r="R25" s="98"/>
      <c r="S25" s="95"/>
      <c r="T25" s="98"/>
      <c r="U25" s="98"/>
      <c r="V25" s="313">
        <v>7.6499999999999999E-2</v>
      </c>
      <c r="W25" s="314"/>
      <c r="X25" s="263"/>
      <c r="Y25" s="263"/>
      <c r="Z25" s="263"/>
      <c r="AA25" s="263"/>
      <c r="AB25" s="263"/>
      <c r="AC25" s="263"/>
      <c r="AD25" s="263"/>
      <c r="AE25" s="263"/>
      <c r="AF25" s="263"/>
      <c r="AG25" s="263"/>
      <c r="AH25" s="263"/>
      <c r="AI25" s="263"/>
      <c r="AJ25" s="263"/>
      <c r="AK25" s="263"/>
      <c r="AL25" s="263"/>
      <c r="AM25" s="264"/>
      <c r="AT25" s="1"/>
    </row>
    <row r="26" spans="1:51" ht="6" customHeight="1" x14ac:dyDescent="0.2">
      <c r="A26" s="77"/>
      <c r="B26" s="78"/>
      <c r="C26" s="78"/>
      <c r="D26" s="78"/>
      <c r="E26" s="78"/>
      <c r="F26" s="78"/>
      <c r="G26" s="78"/>
      <c r="H26" s="78"/>
      <c r="I26" s="78"/>
      <c r="J26" s="78"/>
      <c r="K26" s="69"/>
      <c r="L26" s="69"/>
      <c r="M26" s="69"/>
      <c r="N26" s="69"/>
      <c r="O26" s="69"/>
      <c r="P26" s="69"/>
      <c r="Q26" s="69"/>
      <c r="R26" s="69"/>
      <c r="S26" s="71"/>
      <c r="T26" s="69"/>
      <c r="U26" s="69"/>
      <c r="V26" s="69"/>
      <c r="W26" s="69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69"/>
      <c r="AI26" s="69"/>
      <c r="AJ26" s="69"/>
      <c r="AK26" s="69"/>
      <c r="AL26" s="69"/>
      <c r="AM26" s="72"/>
    </row>
    <row r="27" spans="1:51" ht="12" customHeight="1" x14ac:dyDescent="0.2">
      <c r="A27" s="291" t="s">
        <v>0</v>
      </c>
      <c r="B27" s="294" t="s">
        <v>1</v>
      </c>
      <c r="C27" s="296"/>
      <c r="D27" s="294" t="s">
        <v>38</v>
      </c>
      <c r="E27" s="296"/>
      <c r="F27" s="294" t="s">
        <v>33</v>
      </c>
      <c r="G27" s="295"/>
      <c r="H27" s="295"/>
      <c r="I27" s="295"/>
      <c r="J27" s="295"/>
      <c r="K27" s="295"/>
      <c r="L27" s="295"/>
      <c r="M27" s="295"/>
      <c r="N27" s="295"/>
      <c r="O27" s="295"/>
      <c r="P27" s="295"/>
      <c r="Q27" s="295"/>
      <c r="R27" s="296"/>
      <c r="S27" s="294" t="s">
        <v>34</v>
      </c>
      <c r="T27" s="296"/>
      <c r="U27" s="300" t="s">
        <v>35</v>
      </c>
      <c r="V27" s="301"/>
      <c r="W27" s="302"/>
      <c r="X27" s="309" t="s">
        <v>36</v>
      </c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5"/>
      <c r="AR27" s="236" t="s">
        <v>37</v>
      </c>
      <c r="AS27" s="236"/>
    </row>
    <row r="28" spans="1:51" ht="12" customHeight="1" x14ac:dyDescent="0.2">
      <c r="A28" s="292"/>
      <c r="B28" s="297"/>
      <c r="C28" s="299"/>
      <c r="D28" s="297"/>
      <c r="E28" s="299"/>
      <c r="F28" s="297"/>
      <c r="G28" s="298"/>
      <c r="H28" s="298"/>
      <c r="I28" s="298"/>
      <c r="J28" s="298"/>
      <c r="K28" s="298"/>
      <c r="L28" s="298"/>
      <c r="M28" s="298"/>
      <c r="N28" s="298"/>
      <c r="O28" s="298"/>
      <c r="P28" s="298"/>
      <c r="Q28" s="298"/>
      <c r="R28" s="299"/>
      <c r="S28" s="297"/>
      <c r="T28" s="299"/>
      <c r="U28" s="303"/>
      <c r="V28" s="304"/>
      <c r="W28" s="305"/>
      <c r="X28" s="309" t="s">
        <v>39</v>
      </c>
      <c r="Y28" s="224"/>
      <c r="Z28" s="224"/>
      <c r="AA28" s="224"/>
      <c r="AB28" s="224"/>
      <c r="AC28" s="224"/>
      <c r="AD28" s="224"/>
      <c r="AE28" s="223" t="s">
        <v>40</v>
      </c>
      <c r="AF28" s="224"/>
      <c r="AG28" s="224"/>
      <c r="AH28" s="224"/>
      <c r="AI28" s="224"/>
      <c r="AJ28" s="224"/>
      <c r="AK28" s="224"/>
      <c r="AL28" s="224"/>
      <c r="AM28" s="225"/>
      <c r="AR28" s="6" t="s">
        <v>41</v>
      </c>
      <c r="AS28" s="7">
        <v>0.02</v>
      </c>
    </row>
    <row r="29" spans="1:51" ht="12" customHeight="1" x14ac:dyDescent="0.2">
      <c r="A29" s="293"/>
      <c r="B29" s="226"/>
      <c r="C29" s="228"/>
      <c r="D29" s="226"/>
      <c r="E29" s="228"/>
      <c r="F29" s="226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8"/>
      <c r="S29" s="226"/>
      <c r="T29" s="228"/>
      <c r="U29" s="306"/>
      <c r="V29" s="307"/>
      <c r="W29" s="308"/>
      <c r="X29" s="226" t="s">
        <v>42</v>
      </c>
      <c r="Y29" s="227"/>
      <c r="Z29" s="228"/>
      <c r="AA29" s="226" t="s">
        <v>43</v>
      </c>
      <c r="AB29" s="227"/>
      <c r="AC29" s="227"/>
      <c r="AD29" s="227"/>
      <c r="AE29" s="229" t="s">
        <v>42</v>
      </c>
      <c r="AF29" s="227"/>
      <c r="AG29" s="228"/>
      <c r="AH29" s="226" t="s">
        <v>43</v>
      </c>
      <c r="AI29" s="227"/>
      <c r="AJ29" s="227"/>
      <c r="AK29" s="227"/>
      <c r="AL29" s="227"/>
      <c r="AM29" s="230"/>
      <c r="AR29" s="6" t="s">
        <v>44</v>
      </c>
      <c r="AS29" s="7">
        <v>6.4999999999999997E-3</v>
      </c>
    </row>
    <row r="30" spans="1:51" ht="15.75" x14ac:dyDescent="0.2">
      <c r="A30" s="99">
        <v>1</v>
      </c>
      <c r="B30" s="237"/>
      <c r="C30" s="238"/>
      <c r="D30" s="237"/>
      <c r="E30" s="238"/>
      <c r="F30" s="239" t="s">
        <v>52</v>
      </c>
      <c r="G30" s="240"/>
      <c r="H30" s="240"/>
      <c r="I30" s="240"/>
      <c r="J30" s="240"/>
      <c r="K30" s="240"/>
      <c r="L30" s="240"/>
      <c r="M30" s="240"/>
      <c r="N30" s="240"/>
      <c r="O30" s="240"/>
      <c r="P30" s="240"/>
      <c r="Q30" s="240"/>
      <c r="R30" s="241"/>
      <c r="S30" s="212"/>
      <c r="T30" s="213"/>
      <c r="U30" s="214"/>
      <c r="V30" s="215"/>
      <c r="W30" s="216"/>
      <c r="X30" s="217"/>
      <c r="Y30" s="218"/>
      <c r="Z30" s="219"/>
      <c r="AA30" s="220" t="str">
        <f>IF(S30="","",ROUND(U30*X30,2))</f>
        <v/>
      </c>
      <c r="AB30" s="221"/>
      <c r="AC30" s="221"/>
      <c r="AD30" s="222"/>
      <c r="AE30" s="231" t="str">
        <f>IF(S30="","",ROUND(X30*(1+$AI$18),2))</f>
        <v/>
      </c>
      <c r="AF30" s="232"/>
      <c r="AG30" s="232"/>
      <c r="AH30" s="233" t="str">
        <f>IF(S30="","",ROUND(U30*AE30,2))</f>
        <v/>
      </c>
      <c r="AI30" s="233"/>
      <c r="AJ30" s="233"/>
      <c r="AK30" s="233"/>
      <c r="AL30" s="233"/>
      <c r="AM30" s="234"/>
      <c r="AR30" s="6" t="s">
        <v>45</v>
      </c>
      <c r="AS30" s="7">
        <v>0.03</v>
      </c>
      <c r="AW30" s="235"/>
      <c r="AX30" s="235"/>
      <c r="AY30" s="235"/>
    </row>
    <row r="31" spans="1:51" ht="102.75" customHeight="1" x14ac:dyDescent="0.2">
      <c r="A31" s="104" t="s">
        <v>129</v>
      </c>
      <c r="B31" s="150" t="s">
        <v>141</v>
      </c>
      <c r="C31" s="151"/>
      <c r="D31" s="171" t="s">
        <v>142</v>
      </c>
      <c r="E31" s="172"/>
      <c r="F31" s="206" t="s">
        <v>143</v>
      </c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8"/>
      <c r="S31" s="150" t="s">
        <v>4</v>
      </c>
      <c r="T31" s="151"/>
      <c r="U31" s="194">
        <v>4.5</v>
      </c>
      <c r="V31" s="195"/>
      <c r="W31" s="196"/>
      <c r="X31" s="209">
        <v>233.81</v>
      </c>
      <c r="Y31" s="210"/>
      <c r="Z31" s="211"/>
      <c r="AA31" s="164">
        <f t="shared" ref="AA31:AA33" si="0">ROUND(X31*U31,2)</f>
        <v>1052.1500000000001</v>
      </c>
      <c r="AB31" s="165"/>
      <c r="AC31" s="165"/>
      <c r="AD31" s="166"/>
      <c r="AE31" s="167">
        <f>ROUND(X31*(1+AI$18),2)</f>
        <v>289.06</v>
      </c>
      <c r="AF31" s="168"/>
      <c r="AG31" s="168"/>
      <c r="AH31" s="201">
        <f t="shared" ref="AH31:AH33" si="1">ROUND(AE31*U31,2)</f>
        <v>1300.77</v>
      </c>
      <c r="AI31" s="201"/>
      <c r="AJ31" s="201"/>
      <c r="AK31" s="201"/>
      <c r="AL31" s="201"/>
      <c r="AM31" s="202"/>
      <c r="AP31" s="8"/>
      <c r="AW31" s="235"/>
      <c r="AX31" s="235"/>
      <c r="AY31" s="235"/>
    </row>
    <row r="32" spans="1:51" ht="78" customHeight="1" x14ac:dyDescent="0.2">
      <c r="A32" s="104" t="s">
        <v>125</v>
      </c>
      <c r="B32" s="150" t="s">
        <v>152</v>
      </c>
      <c r="C32" s="151"/>
      <c r="D32" s="171" t="s">
        <v>142</v>
      </c>
      <c r="E32" s="172"/>
      <c r="F32" s="199" t="s">
        <v>153</v>
      </c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135"/>
      <c r="S32" s="150" t="s">
        <v>154</v>
      </c>
      <c r="T32" s="151"/>
      <c r="U32" s="194">
        <v>83677.37</v>
      </c>
      <c r="V32" s="195"/>
      <c r="W32" s="196"/>
      <c r="X32" s="203">
        <v>5.0000000000000001E-3</v>
      </c>
      <c r="Y32" s="204"/>
      <c r="Z32" s="205"/>
      <c r="AA32" s="164">
        <f t="shared" ref="AA32" si="2">ROUND(X32*U32,2)</f>
        <v>418.39</v>
      </c>
      <c r="AB32" s="165"/>
      <c r="AC32" s="165"/>
      <c r="AD32" s="166"/>
      <c r="AE32" s="167"/>
      <c r="AF32" s="168"/>
      <c r="AG32" s="168"/>
      <c r="AH32" s="201">
        <f>AA32</f>
        <v>418.39</v>
      </c>
      <c r="AI32" s="201"/>
      <c r="AJ32" s="201"/>
      <c r="AK32" s="201"/>
      <c r="AL32" s="201"/>
      <c r="AM32" s="202"/>
      <c r="AP32" s="8"/>
      <c r="AW32" s="47"/>
      <c r="AX32" s="47"/>
      <c r="AY32" s="47"/>
    </row>
    <row r="33" spans="1:51" ht="62.45" customHeight="1" x14ac:dyDescent="0.2">
      <c r="A33" s="104" t="s">
        <v>186</v>
      </c>
      <c r="B33" s="150" t="s">
        <v>158</v>
      </c>
      <c r="C33" s="151"/>
      <c r="D33" s="171" t="s">
        <v>142</v>
      </c>
      <c r="E33" s="172"/>
      <c r="F33" s="191" t="s">
        <v>157</v>
      </c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3"/>
      <c r="S33" s="150" t="s">
        <v>34</v>
      </c>
      <c r="T33" s="151"/>
      <c r="U33" s="194">
        <v>1</v>
      </c>
      <c r="V33" s="195"/>
      <c r="W33" s="196"/>
      <c r="X33" s="209">
        <v>3910.87</v>
      </c>
      <c r="Y33" s="210"/>
      <c r="Z33" s="211"/>
      <c r="AA33" s="164">
        <f t="shared" si="0"/>
        <v>3910.87</v>
      </c>
      <c r="AB33" s="165"/>
      <c r="AC33" s="165"/>
      <c r="AD33" s="166"/>
      <c r="AE33" s="167">
        <f>ROUND(X33*(1+AI$18),2)</f>
        <v>4835.01</v>
      </c>
      <c r="AF33" s="168"/>
      <c r="AG33" s="168"/>
      <c r="AH33" s="201">
        <f t="shared" si="1"/>
        <v>4835.01</v>
      </c>
      <c r="AI33" s="201"/>
      <c r="AJ33" s="201"/>
      <c r="AK33" s="201"/>
      <c r="AL33" s="201"/>
      <c r="AM33" s="202"/>
      <c r="AP33" s="8"/>
      <c r="AW33" s="47"/>
      <c r="AX33" s="47"/>
      <c r="AY33" s="47"/>
    </row>
    <row r="34" spans="1:51" ht="50.1" customHeight="1" x14ac:dyDescent="0.2">
      <c r="A34" s="104"/>
      <c r="B34" s="105"/>
      <c r="C34" s="106"/>
      <c r="D34" s="105"/>
      <c r="E34" s="106"/>
      <c r="F34" s="181" t="s">
        <v>47</v>
      </c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3"/>
      <c r="S34" s="107"/>
      <c r="T34" s="108"/>
      <c r="U34" s="109"/>
      <c r="V34" s="110"/>
      <c r="W34" s="111"/>
      <c r="X34" s="173"/>
      <c r="Y34" s="156"/>
      <c r="Z34" s="156"/>
      <c r="AA34" s="188">
        <f>SUM(AA31:AD33)</f>
        <v>5381.41</v>
      </c>
      <c r="AB34" s="189"/>
      <c r="AC34" s="189"/>
      <c r="AD34" s="190"/>
      <c r="AE34" s="167"/>
      <c r="AF34" s="168"/>
      <c r="AG34" s="168"/>
      <c r="AH34" s="317">
        <f>SUM(AH31:AN33)</f>
        <v>6554.17</v>
      </c>
      <c r="AI34" s="318"/>
      <c r="AJ34" s="318"/>
      <c r="AK34" s="318"/>
      <c r="AL34" s="318"/>
      <c r="AM34" s="319"/>
      <c r="AP34" s="8"/>
      <c r="AW34" s="315"/>
      <c r="AX34" s="315"/>
      <c r="AY34" s="315"/>
    </row>
    <row r="35" spans="1:51" ht="50.1" customHeight="1" x14ac:dyDescent="0.2">
      <c r="A35" s="100">
        <v>2</v>
      </c>
      <c r="B35" s="197"/>
      <c r="C35" s="198"/>
      <c r="D35" s="325"/>
      <c r="E35" s="326"/>
      <c r="F35" s="327" t="s">
        <v>144</v>
      </c>
      <c r="G35" s="328"/>
      <c r="H35" s="328"/>
      <c r="I35" s="328"/>
      <c r="J35" s="328"/>
      <c r="K35" s="328"/>
      <c r="L35" s="328"/>
      <c r="M35" s="328"/>
      <c r="N35" s="328"/>
      <c r="O35" s="328"/>
      <c r="P35" s="328"/>
      <c r="Q35" s="328"/>
      <c r="R35" s="329"/>
      <c r="S35" s="197"/>
      <c r="T35" s="198"/>
      <c r="U35" s="214"/>
      <c r="V35" s="215"/>
      <c r="W35" s="216"/>
      <c r="X35" s="332"/>
      <c r="Y35" s="333"/>
      <c r="Z35" s="334"/>
      <c r="AA35" s="335"/>
      <c r="AB35" s="336"/>
      <c r="AC35" s="336"/>
      <c r="AD35" s="337"/>
      <c r="AE35" s="330"/>
      <c r="AF35" s="331"/>
      <c r="AG35" s="331"/>
      <c r="AH35" s="320"/>
      <c r="AI35" s="320"/>
      <c r="AJ35" s="320"/>
      <c r="AK35" s="320"/>
      <c r="AL35" s="320"/>
      <c r="AM35" s="321"/>
      <c r="AP35" s="11"/>
      <c r="AW35" s="316"/>
      <c r="AX35" s="316"/>
      <c r="AY35" s="316"/>
    </row>
    <row r="36" spans="1:51" ht="40.5" customHeight="1" x14ac:dyDescent="0.2">
      <c r="A36" s="104" t="s">
        <v>2</v>
      </c>
      <c r="B36" s="150" t="s">
        <v>149</v>
      </c>
      <c r="C36" s="151"/>
      <c r="D36" s="171" t="s">
        <v>142</v>
      </c>
      <c r="E36" s="172"/>
      <c r="F36" s="147" t="s">
        <v>148</v>
      </c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9"/>
      <c r="S36" s="150" t="s">
        <v>34</v>
      </c>
      <c r="T36" s="151"/>
      <c r="U36" s="152">
        <v>6</v>
      </c>
      <c r="V36" s="153"/>
      <c r="W36" s="154"/>
      <c r="X36" s="155">
        <v>4353.3100000000004</v>
      </c>
      <c r="Y36" s="156"/>
      <c r="Z36" s="156"/>
      <c r="AA36" s="164">
        <f t="shared" ref="AA36:AA41" si="3">ROUND(X36*U36,2)</f>
        <v>26119.86</v>
      </c>
      <c r="AB36" s="165"/>
      <c r="AC36" s="165"/>
      <c r="AD36" s="166"/>
      <c r="AE36" s="167">
        <f>ROUND(X36*(1+AI$18),2)</f>
        <v>5382</v>
      </c>
      <c r="AF36" s="168"/>
      <c r="AG36" s="168"/>
      <c r="AH36" s="201">
        <f>U36*AE36</f>
        <v>32292</v>
      </c>
      <c r="AI36" s="201"/>
      <c r="AJ36" s="201"/>
      <c r="AK36" s="201"/>
      <c r="AL36" s="201"/>
      <c r="AM36" s="202"/>
      <c r="AP36" s="12"/>
      <c r="AS36" s="8"/>
      <c r="AW36" s="235"/>
      <c r="AX36" s="235"/>
      <c r="AY36" s="235"/>
    </row>
    <row r="37" spans="1:51" ht="68.25" customHeight="1" x14ac:dyDescent="0.2">
      <c r="A37" s="104" t="s">
        <v>3</v>
      </c>
      <c r="B37" s="169">
        <v>100953</v>
      </c>
      <c r="C37" s="170"/>
      <c r="D37" s="171" t="s">
        <v>46</v>
      </c>
      <c r="E37" s="172"/>
      <c r="F37" s="147" t="s">
        <v>145</v>
      </c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9"/>
      <c r="S37" s="150" t="s">
        <v>130</v>
      </c>
      <c r="T37" s="151"/>
      <c r="U37" s="152">
        <v>180</v>
      </c>
      <c r="V37" s="153"/>
      <c r="W37" s="154"/>
      <c r="X37" s="155">
        <v>1.1399999999999999</v>
      </c>
      <c r="Y37" s="156"/>
      <c r="Z37" s="156"/>
      <c r="AA37" s="164">
        <f t="shared" ref="AA37" si="4">ROUND(X37*U37,2)</f>
        <v>205.2</v>
      </c>
      <c r="AB37" s="165"/>
      <c r="AC37" s="165"/>
      <c r="AD37" s="166"/>
      <c r="AE37" s="167">
        <f t="shared" ref="AE37:AE41" si="5">ROUND(X37*(1+AI$18),2)</f>
        <v>1.41</v>
      </c>
      <c r="AF37" s="168"/>
      <c r="AG37" s="168"/>
      <c r="AH37" s="201">
        <f>U37*AE37</f>
        <v>253.79999999999998</v>
      </c>
      <c r="AI37" s="201"/>
      <c r="AJ37" s="201"/>
      <c r="AK37" s="201"/>
      <c r="AL37" s="201"/>
      <c r="AM37" s="202"/>
      <c r="AP37" s="12"/>
      <c r="AS37" s="8"/>
      <c r="AW37" s="47"/>
      <c r="AX37" s="47"/>
      <c r="AY37" s="47"/>
    </row>
    <row r="38" spans="1:51" ht="50.1" customHeight="1" x14ac:dyDescent="0.2">
      <c r="A38" s="104" t="s">
        <v>5</v>
      </c>
      <c r="B38" s="169">
        <v>101009</v>
      </c>
      <c r="C38" s="170"/>
      <c r="D38" s="171" t="s">
        <v>46</v>
      </c>
      <c r="E38" s="172"/>
      <c r="F38" s="147" t="s">
        <v>146</v>
      </c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9"/>
      <c r="S38" s="150" t="s">
        <v>147</v>
      </c>
      <c r="T38" s="151"/>
      <c r="U38" s="152">
        <v>6</v>
      </c>
      <c r="V38" s="153"/>
      <c r="W38" s="154"/>
      <c r="X38" s="155">
        <v>43.79</v>
      </c>
      <c r="Y38" s="156"/>
      <c r="Z38" s="156"/>
      <c r="AA38" s="164">
        <f t="shared" ref="AA38" si="6">ROUND(X38*U38,2)</f>
        <v>262.74</v>
      </c>
      <c r="AB38" s="165"/>
      <c r="AC38" s="165"/>
      <c r="AD38" s="166"/>
      <c r="AE38" s="167">
        <f t="shared" si="5"/>
        <v>54.14</v>
      </c>
      <c r="AF38" s="168"/>
      <c r="AG38" s="168"/>
      <c r="AH38" s="201">
        <f>U38*AE38</f>
        <v>324.84000000000003</v>
      </c>
      <c r="AI38" s="201"/>
      <c r="AJ38" s="201"/>
      <c r="AK38" s="201"/>
      <c r="AL38" s="201"/>
      <c r="AM38" s="202"/>
      <c r="AP38" s="12"/>
      <c r="AS38" s="8"/>
      <c r="AW38" s="47"/>
      <c r="AX38" s="47"/>
      <c r="AY38" s="47"/>
    </row>
    <row r="39" spans="1:51" ht="76.900000000000006" customHeight="1" x14ac:dyDescent="0.2">
      <c r="A39" s="104" t="s">
        <v>53</v>
      </c>
      <c r="B39" s="150" t="s">
        <v>160</v>
      </c>
      <c r="C39" s="151"/>
      <c r="D39" s="171" t="s">
        <v>142</v>
      </c>
      <c r="E39" s="172"/>
      <c r="F39" s="147" t="s">
        <v>159</v>
      </c>
      <c r="G39" s="148"/>
      <c r="H39" s="148"/>
      <c r="I39" s="148"/>
      <c r="J39" s="148"/>
      <c r="K39" s="148"/>
      <c r="L39" s="148"/>
      <c r="M39" s="148"/>
      <c r="N39" s="148"/>
      <c r="O39" s="148"/>
      <c r="P39" s="148"/>
      <c r="Q39" s="148"/>
      <c r="R39" s="149"/>
      <c r="S39" s="150" t="s">
        <v>131</v>
      </c>
      <c r="T39" s="151"/>
      <c r="U39" s="152">
        <v>18</v>
      </c>
      <c r="V39" s="153"/>
      <c r="W39" s="154"/>
      <c r="X39" s="173">
        <v>53.04</v>
      </c>
      <c r="Y39" s="156"/>
      <c r="Z39" s="156"/>
      <c r="AA39" s="164">
        <f t="shared" si="3"/>
        <v>954.72</v>
      </c>
      <c r="AB39" s="165"/>
      <c r="AC39" s="165"/>
      <c r="AD39" s="166"/>
      <c r="AE39" s="167">
        <f t="shared" si="5"/>
        <v>65.569999999999993</v>
      </c>
      <c r="AF39" s="168"/>
      <c r="AG39" s="168"/>
      <c r="AH39" s="201">
        <f>U39*AE39</f>
        <v>1180.2599999999998</v>
      </c>
      <c r="AI39" s="201"/>
      <c r="AJ39" s="201"/>
      <c r="AK39" s="201"/>
      <c r="AL39" s="201"/>
      <c r="AM39" s="202"/>
      <c r="AW39" s="235"/>
      <c r="AX39" s="235"/>
      <c r="AY39" s="235"/>
    </row>
    <row r="40" spans="1:51" ht="70.900000000000006" customHeight="1" x14ac:dyDescent="0.2">
      <c r="A40" s="104" t="s">
        <v>138</v>
      </c>
      <c r="B40" s="150"/>
      <c r="C40" s="151"/>
      <c r="D40" s="171" t="s">
        <v>151</v>
      </c>
      <c r="E40" s="172"/>
      <c r="F40" s="147" t="s">
        <v>161</v>
      </c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9"/>
      <c r="S40" s="150" t="s">
        <v>131</v>
      </c>
      <c r="T40" s="151"/>
      <c r="U40" s="152">
        <v>225</v>
      </c>
      <c r="V40" s="153"/>
      <c r="W40" s="154"/>
      <c r="X40" s="173">
        <v>31.216000000000001</v>
      </c>
      <c r="Y40" s="156"/>
      <c r="Z40" s="156"/>
      <c r="AA40" s="164">
        <f t="shared" si="3"/>
        <v>7023.6</v>
      </c>
      <c r="AB40" s="165"/>
      <c r="AC40" s="165"/>
      <c r="AD40" s="166"/>
      <c r="AE40" s="167">
        <f t="shared" si="5"/>
        <v>38.590000000000003</v>
      </c>
      <c r="AF40" s="168"/>
      <c r="AG40" s="168"/>
      <c r="AH40" s="201">
        <f>ROUND(AE40*U40,2)</f>
        <v>8682.75</v>
      </c>
      <c r="AI40" s="201"/>
      <c r="AJ40" s="201"/>
      <c r="AK40" s="201"/>
      <c r="AL40" s="201"/>
      <c r="AM40" s="202"/>
      <c r="AR40" s="12"/>
      <c r="AW40" s="47"/>
      <c r="AX40" s="47"/>
      <c r="AY40" s="47"/>
    </row>
    <row r="41" spans="1:51" ht="50.1" customHeight="1" x14ac:dyDescent="0.2">
      <c r="A41" s="104" t="s">
        <v>132</v>
      </c>
      <c r="B41" s="169">
        <v>100952</v>
      </c>
      <c r="C41" s="170"/>
      <c r="D41" s="171" t="s">
        <v>46</v>
      </c>
      <c r="E41" s="172"/>
      <c r="F41" s="147" t="s">
        <v>150</v>
      </c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9"/>
      <c r="S41" s="150" t="s">
        <v>130</v>
      </c>
      <c r="T41" s="151"/>
      <c r="U41" s="152">
        <v>330</v>
      </c>
      <c r="V41" s="153"/>
      <c r="W41" s="154"/>
      <c r="X41" s="155">
        <v>2.89</v>
      </c>
      <c r="Y41" s="156"/>
      <c r="Z41" s="156"/>
      <c r="AA41" s="164">
        <f t="shared" si="3"/>
        <v>953.7</v>
      </c>
      <c r="AB41" s="165"/>
      <c r="AC41" s="165"/>
      <c r="AD41" s="166"/>
      <c r="AE41" s="167">
        <f t="shared" si="5"/>
        <v>3.57</v>
      </c>
      <c r="AF41" s="168"/>
      <c r="AG41" s="168"/>
      <c r="AH41" s="201">
        <f>U41*AE41</f>
        <v>1178.0999999999999</v>
      </c>
      <c r="AI41" s="201"/>
      <c r="AJ41" s="201"/>
      <c r="AK41" s="201"/>
      <c r="AL41" s="201"/>
      <c r="AM41" s="202"/>
      <c r="AP41" s="8"/>
      <c r="AW41" s="47"/>
      <c r="AX41" s="47"/>
      <c r="AY41" s="47"/>
    </row>
    <row r="42" spans="1:51" ht="50.1" customHeight="1" x14ac:dyDescent="0.2">
      <c r="A42" s="104" t="s">
        <v>133</v>
      </c>
      <c r="B42" s="169" t="s">
        <v>168</v>
      </c>
      <c r="C42" s="170"/>
      <c r="D42" s="171" t="s">
        <v>142</v>
      </c>
      <c r="E42" s="172"/>
      <c r="F42" s="147" t="s">
        <v>167</v>
      </c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9"/>
      <c r="S42" s="150" t="s">
        <v>34</v>
      </c>
      <c r="T42" s="151"/>
      <c r="U42" s="152">
        <v>1</v>
      </c>
      <c r="V42" s="153"/>
      <c r="W42" s="154"/>
      <c r="X42" s="155">
        <v>990.02</v>
      </c>
      <c r="Y42" s="156"/>
      <c r="Z42" s="156"/>
      <c r="AA42" s="164">
        <f t="shared" ref="AA42" si="7">ROUND(X42*U42,2)</f>
        <v>990.02</v>
      </c>
      <c r="AB42" s="165"/>
      <c r="AC42" s="165"/>
      <c r="AD42" s="166"/>
      <c r="AE42" s="167">
        <f t="shared" ref="AE42:AE50" si="8">ROUND(X42*(1+AI$18),2)</f>
        <v>1223.96</v>
      </c>
      <c r="AF42" s="168"/>
      <c r="AG42" s="168"/>
      <c r="AH42" s="201">
        <f t="shared" ref="AH42:AH50" si="9">U42*AE42</f>
        <v>1223.96</v>
      </c>
      <c r="AI42" s="201"/>
      <c r="AJ42" s="201"/>
      <c r="AK42" s="201"/>
      <c r="AL42" s="201"/>
      <c r="AM42" s="202"/>
      <c r="AP42" s="66"/>
      <c r="AW42" s="47"/>
      <c r="AX42" s="47"/>
      <c r="AY42" s="47"/>
    </row>
    <row r="43" spans="1:51" ht="50.1" customHeight="1" x14ac:dyDescent="0.2">
      <c r="A43" s="104" t="s">
        <v>134</v>
      </c>
      <c r="B43" s="169" t="s">
        <v>171</v>
      </c>
      <c r="C43" s="170"/>
      <c r="D43" s="171" t="s">
        <v>142</v>
      </c>
      <c r="E43" s="172"/>
      <c r="F43" s="159" t="s">
        <v>172</v>
      </c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36"/>
      <c r="S43" s="150" t="s">
        <v>34</v>
      </c>
      <c r="T43" s="151"/>
      <c r="U43" s="152">
        <v>1</v>
      </c>
      <c r="V43" s="153"/>
      <c r="W43" s="154"/>
      <c r="X43" s="155">
        <v>306.47000000000003</v>
      </c>
      <c r="Y43" s="157"/>
      <c r="Z43" s="158"/>
      <c r="AA43" s="139">
        <f t="shared" ref="AA43:AA44" si="10">ROUND(X43*U43,2)</f>
        <v>306.47000000000003</v>
      </c>
      <c r="AB43" s="140"/>
      <c r="AC43" s="140"/>
      <c r="AD43" s="141"/>
      <c r="AE43" s="142">
        <f t="shared" ref="AE43:AE44" si="11">ROUND(X43*(1+AI$18),2)</f>
        <v>378.89</v>
      </c>
      <c r="AF43" s="143"/>
      <c r="AG43" s="144"/>
      <c r="AH43" s="322">
        <f t="shared" ref="AH43:AH44" si="12">U43*AE43</f>
        <v>378.89</v>
      </c>
      <c r="AI43" s="323"/>
      <c r="AJ43" s="323"/>
      <c r="AK43" s="323"/>
      <c r="AL43" s="323"/>
      <c r="AM43" s="324"/>
      <c r="AP43" s="66"/>
      <c r="AW43" s="47"/>
      <c r="AX43" s="47"/>
      <c r="AY43" s="47"/>
    </row>
    <row r="44" spans="1:51" ht="50.1" customHeight="1" x14ac:dyDescent="0.2">
      <c r="A44" s="104" t="s">
        <v>187</v>
      </c>
      <c r="B44" s="169" t="s">
        <v>169</v>
      </c>
      <c r="C44" s="170"/>
      <c r="D44" s="171" t="s">
        <v>142</v>
      </c>
      <c r="E44" s="172"/>
      <c r="F44" s="159" t="s">
        <v>170</v>
      </c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36"/>
      <c r="S44" s="150" t="s">
        <v>34</v>
      </c>
      <c r="T44" s="151"/>
      <c r="U44" s="152">
        <v>6</v>
      </c>
      <c r="V44" s="153"/>
      <c r="W44" s="154"/>
      <c r="X44" s="155">
        <v>84.31</v>
      </c>
      <c r="Y44" s="157"/>
      <c r="Z44" s="158"/>
      <c r="AA44" s="139">
        <f t="shared" si="10"/>
        <v>505.86</v>
      </c>
      <c r="AB44" s="140"/>
      <c r="AC44" s="140"/>
      <c r="AD44" s="141"/>
      <c r="AE44" s="142">
        <f t="shared" si="11"/>
        <v>104.23</v>
      </c>
      <c r="AF44" s="143"/>
      <c r="AG44" s="144"/>
      <c r="AH44" s="322">
        <f t="shared" si="12"/>
        <v>625.38</v>
      </c>
      <c r="AI44" s="323"/>
      <c r="AJ44" s="323"/>
      <c r="AK44" s="323"/>
      <c r="AL44" s="323"/>
      <c r="AM44" s="324"/>
      <c r="AP44" s="66"/>
      <c r="AW44" s="47"/>
      <c r="AX44" s="47"/>
      <c r="AY44" s="47"/>
    </row>
    <row r="45" spans="1:51" ht="50.1" customHeight="1" x14ac:dyDescent="0.2">
      <c r="A45" s="104" t="s">
        <v>188</v>
      </c>
      <c r="B45" s="169" t="s">
        <v>173</v>
      </c>
      <c r="C45" s="170"/>
      <c r="D45" s="171" t="s">
        <v>142</v>
      </c>
      <c r="E45" s="172"/>
      <c r="F45" s="159" t="s">
        <v>174</v>
      </c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36"/>
      <c r="S45" s="150" t="s">
        <v>34</v>
      </c>
      <c r="T45" s="151"/>
      <c r="U45" s="152">
        <v>3</v>
      </c>
      <c r="V45" s="153"/>
      <c r="W45" s="154"/>
      <c r="X45" s="155">
        <v>71.8</v>
      </c>
      <c r="Y45" s="157"/>
      <c r="Z45" s="158"/>
      <c r="AA45" s="139">
        <f t="shared" ref="AA45" si="13">ROUND(X45*U45,2)</f>
        <v>215.4</v>
      </c>
      <c r="AB45" s="140"/>
      <c r="AC45" s="140"/>
      <c r="AD45" s="141"/>
      <c r="AE45" s="142">
        <f t="shared" ref="AE45" si="14">ROUND(X45*(1+AI$18),2)</f>
        <v>88.77</v>
      </c>
      <c r="AF45" s="143"/>
      <c r="AG45" s="144"/>
      <c r="AH45" s="145">
        <f t="shared" ref="AH45" si="15">U45*AE45</f>
        <v>266.31</v>
      </c>
      <c r="AI45" s="143"/>
      <c r="AJ45" s="143"/>
      <c r="AK45" s="143"/>
      <c r="AL45" s="143"/>
      <c r="AM45" s="146"/>
      <c r="AP45" s="66"/>
      <c r="AW45" s="47"/>
      <c r="AX45" s="47"/>
      <c r="AY45" s="47"/>
    </row>
    <row r="46" spans="1:51" ht="50.1" customHeight="1" x14ac:dyDescent="0.2">
      <c r="A46" s="104" t="s">
        <v>189</v>
      </c>
      <c r="B46" s="169" t="s">
        <v>177</v>
      </c>
      <c r="C46" s="170"/>
      <c r="D46" s="171" t="s">
        <v>142</v>
      </c>
      <c r="E46" s="172"/>
      <c r="F46" s="159" t="s">
        <v>178</v>
      </c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36"/>
      <c r="S46" s="150" t="s">
        <v>34</v>
      </c>
      <c r="T46" s="151"/>
      <c r="U46" s="161">
        <f>34+31+30+9</f>
        <v>104</v>
      </c>
      <c r="V46" s="162"/>
      <c r="W46" s="163"/>
      <c r="X46" s="155">
        <v>111.18</v>
      </c>
      <c r="Y46" s="157"/>
      <c r="Z46" s="158"/>
      <c r="AA46" s="139">
        <f t="shared" ref="AA46" si="16">ROUND(X46*U46,2)</f>
        <v>11562.72</v>
      </c>
      <c r="AB46" s="140"/>
      <c r="AC46" s="140"/>
      <c r="AD46" s="141"/>
      <c r="AE46" s="142">
        <f t="shared" ref="AE46" si="17">ROUND(X46*(1+AI$18),2)</f>
        <v>137.44999999999999</v>
      </c>
      <c r="AF46" s="143"/>
      <c r="AG46" s="144"/>
      <c r="AH46" s="145">
        <f t="shared" ref="AH46" si="18">U46*AE46</f>
        <v>14294.8</v>
      </c>
      <c r="AI46" s="143"/>
      <c r="AJ46" s="143"/>
      <c r="AK46" s="143"/>
      <c r="AL46" s="143"/>
      <c r="AM46" s="146"/>
      <c r="AP46" s="66"/>
      <c r="AW46" s="47"/>
      <c r="AX46" s="47"/>
      <c r="AY46" s="47"/>
    </row>
    <row r="47" spans="1:51" ht="50.1" customHeight="1" x14ac:dyDescent="0.2">
      <c r="A47" s="104" t="s">
        <v>190</v>
      </c>
      <c r="B47" s="169" t="s">
        <v>181</v>
      </c>
      <c r="C47" s="170"/>
      <c r="D47" s="171" t="s">
        <v>142</v>
      </c>
      <c r="E47" s="172"/>
      <c r="F47" s="159" t="s">
        <v>182</v>
      </c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36"/>
      <c r="S47" s="150" t="s">
        <v>131</v>
      </c>
      <c r="T47" s="151"/>
      <c r="U47" s="161">
        <f>78+72+71+23+ (1.5*6)</f>
        <v>253</v>
      </c>
      <c r="V47" s="162"/>
      <c r="W47" s="163"/>
      <c r="X47" s="155">
        <v>22.46</v>
      </c>
      <c r="Y47" s="157"/>
      <c r="Z47" s="158"/>
      <c r="AA47" s="139">
        <f t="shared" ref="AA47" si="19">ROUND(X47*U47,2)</f>
        <v>5682.38</v>
      </c>
      <c r="AB47" s="140"/>
      <c r="AC47" s="140"/>
      <c r="AD47" s="141"/>
      <c r="AE47" s="142">
        <f t="shared" ref="AE47" si="20">ROUND(X47*(1+AI$18),2)</f>
        <v>27.77</v>
      </c>
      <c r="AF47" s="143"/>
      <c r="AG47" s="144"/>
      <c r="AH47" s="145">
        <f t="shared" ref="AH47" si="21">U47*AE47</f>
        <v>7025.8099999999995</v>
      </c>
      <c r="AI47" s="143"/>
      <c r="AJ47" s="143"/>
      <c r="AK47" s="143"/>
      <c r="AL47" s="143"/>
      <c r="AM47" s="146"/>
      <c r="AP47" s="66"/>
      <c r="AW47" s="47"/>
      <c r="AX47" s="47"/>
      <c r="AY47" s="47"/>
    </row>
    <row r="48" spans="1:51" ht="50.1" customHeight="1" x14ac:dyDescent="0.2">
      <c r="A48" s="104" t="s">
        <v>191</v>
      </c>
      <c r="B48" s="169" t="s">
        <v>184</v>
      </c>
      <c r="C48" s="170"/>
      <c r="D48" s="171" t="s">
        <v>142</v>
      </c>
      <c r="E48" s="172"/>
      <c r="F48" s="159" t="s">
        <v>185</v>
      </c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36"/>
      <c r="S48" s="150" t="s">
        <v>183</v>
      </c>
      <c r="T48" s="151"/>
      <c r="U48" s="161">
        <f>U47*0.5*0.25</f>
        <v>31.625</v>
      </c>
      <c r="V48" s="162"/>
      <c r="W48" s="163"/>
      <c r="X48" s="155">
        <v>77.290000000000006</v>
      </c>
      <c r="Y48" s="157"/>
      <c r="Z48" s="158"/>
      <c r="AA48" s="139">
        <f t="shared" ref="AA48" si="22">ROUND(X48*U48,2)</f>
        <v>2444.3000000000002</v>
      </c>
      <c r="AB48" s="140"/>
      <c r="AC48" s="140"/>
      <c r="AD48" s="141"/>
      <c r="AE48" s="142">
        <f t="shared" ref="AE48" si="23">ROUND(X48*(1+AI$18),2)</f>
        <v>95.55</v>
      </c>
      <c r="AF48" s="143"/>
      <c r="AG48" s="144"/>
      <c r="AH48" s="145">
        <f t="shared" ref="AH48" si="24">U48*AE48</f>
        <v>3021.7687499999997</v>
      </c>
      <c r="AI48" s="143"/>
      <c r="AJ48" s="143"/>
      <c r="AK48" s="143"/>
      <c r="AL48" s="143"/>
      <c r="AM48" s="146"/>
      <c r="AP48" s="66"/>
      <c r="AW48" s="47"/>
      <c r="AX48" s="47"/>
      <c r="AY48" s="47"/>
    </row>
    <row r="49" spans="1:51" ht="50.1" customHeight="1" x14ac:dyDescent="0.2">
      <c r="A49" s="104" t="s">
        <v>192</v>
      </c>
      <c r="B49" s="169" t="s">
        <v>180</v>
      </c>
      <c r="C49" s="170"/>
      <c r="D49" s="171" t="s">
        <v>142</v>
      </c>
      <c r="E49" s="172"/>
      <c r="F49" s="159" t="s">
        <v>179</v>
      </c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36"/>
      <c r="S49" s="150" t="s">
        <v>34</v>
      </c>
      <c r="T49" s="151"/>
      <c r="U49" s="161">
        <v>6</v>
      </c>
      <c r="V49" s="162"/>
      <c r="W49" s="163"/>
      <c r="X49" s="155">
        <v>144.93</v>
      </c>
      <c r="Y49" s="157"/>
      <c r="Z49" s="158"/>
      <c r="AA49" s="139">
        <f t="shared" ref="AA49" si="25">ROUND(X49*U49,2)</f>
        <v>869.58</v>
      </c>
      <c r="AB49" s="140"/>
      <c r="AC49" s="140"/>
      <c r="AD49" s="141"/>
      <c r="AE49" s="142">
        <f t="shared" ref="AE49" si="26">ROUND(X49*(1+AI$18),2)</f>
        <v>179.18</v>
      </c>
      <c r="AF49" s="143"/>
      <c r="AG49" s="144"/>
      <c r="AH49" s="145">
        <f t="shared" ref="AH49" si="27">U49*AE49</f>
        <v>1075.08</v>
      </c>
      <c r="AI49" s="143"/>
      <c r="AJ49" s="143"/>
      <c r="AK49" s="143"/>
      <c r="AL49" s="143"/>
      <c r="AM49" s="146"/>
      <c r="AP49" s="66"/>
      <c r="AW49" s="47"/>
      <c r="AX49" s="47"/>
      <c r="AY49" s="47"/>
    </row>
    <row r="50" spans="1:51" ht="50.1" customHeight="1" x14ac:dyDescent="0.2">
      <c r="A50" s="104" t="s">
        <v>193</v>
      </c>
      <c r="B50" s="169" t="s">
        <v>165</v>
      </c>
      <c r="C50" s="170"/>
      <c r="D50" s="338" t="s">
        <v>142</v>
      </c>
      <c r="E50" s="339"/>
      <c r="F50" s="340" t="s">
        <v>166</v>
      </c>
      <c r="G50" s="341"/>
      <c r="H50" s="341"/>
      <c r="I50" s="341"/>
      <c r="J50" s="341"/>
      <c r="K50" s="341"/>
      <c r="L50" s="341"/>
      <c r="M50" s="341"/>
      <c r="N50" s="341"/>
      <c r="O50" s="341"/>
      <c r="P50" s="341"/>
      <c r="Q50" s="341"/>
      <c r="R50" s="342"/>
      <c r="S50" s="150" t="s">
        <v>131</v>
      </c>
      <c r="T50" s="151"/>
      <c r="U50" s="152">
        <v>250</v>
      </c>
      <c r="V50" s="153"/>
      <c r="W50" s="154"/>
      <c r="X50" s="155">
        <v>60.1</v>
      </c>
      <c r="Y50" s="156"/>
      <c r="Z50" s="156"/>
      <c r="AA50" s="164">
        <f>ROUND(X50*U50,2)</f>
        <v>15025</v>
      </c>
      <c r="AB50" s="165"/>
      <c r="AC50" s="165"/>
      <c r="AD50" s="166"/>
      <c r="AE50" s="167">
        <f t="shared" si="8"/>
        <v>74.3</v>
      </c>
      <c r="AF50" s="168"/>
      <c r="AG50" s="168"/>
      <c r="AH50" s="201">
        <f t="shared" si="9"/>
        <v>18575</v>
      </c>
      <c r="AI50" s="201"/>
      <c r="AJ50" s="201"/>
      <c r="AK50" s="201"/>
      <c r="AL50" s="201"/>
      <c r="AM50" s="202"/>
      <c r="AP50" s="8"/>
      <c r="AW50" s="47"/>
      <c r="AX50" s="47"/>
      <c r="AY50" s="47"/>
    </row>
    <row r="51" spans="1:51" ht="50.1" customHeight="1" x14ac:dyDescent="0.2">
      <c r="A51" s="104"/>
      <c r="B51" s="150"/>
      <c r="C51" s="151"/>
      <c r="D51" s="171"/>
      <c r="E51" s="172"/>
      <c r="F51" s="181" t="s">
        <v>48</v>
      </c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3"/>
      <c r="S51" s="150"/>
      <c r="T51" s="151"/>
      <c r="U51" s="184"/>
      <c r="V51" s="185"/>
      <c r="W51" s="186"/>
      <c r="X51" s="173"/>
      <c r="Y51" s="156"/>
      <c r="Z51" s="187"/>
      <c r="AA51" s="188">
        <f>SUM(AA36:AD50)</f>
        <v>73121.55</v>
      </c>
      <c r="AB51" s="189"/>
      <c r="AC51" s="189"/>
      <c r="AD51" s="190"/>
      <c r="AE51" s="167"/>
      <c r="AF51" s="168"/>
      <c r="AG51" s="168"/>
      <c r="AH51" s="317">
        <f>AH36+AH37+AH38+AH39+AH40+AH41+AH43+AH44+AH45+AH42+AH46+AH47+AH48+AH49+AH50</f>
        <v>90398.748749999999</v>
      </c>
      <c r="AI51" s="318"/>
      <c r="AJ51" s="318"/>
      <c r="AK51" s="318"/>
      <c r="AL51" s="318"/>
      <c r="AM51" s="319"/>
      <c r="AP51" s="8"/>
      <c r="AR51" s="12"/>
      <c r="AW51" s="316"/>
      <c r="AX51" s="316"/>
      <c r="AY51" s="316"/>
    </row>
    <row r="52" spans="1:51" ht="17.25" customHeight="1" x14ac:dyDescent="0.2">
      <c r="A52" s="344" t="s">
        <v>49</v>
      </c>
      <c r="B52" s="345"/>
      <c r="C52" s="345"/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6"/>
      <c r="X52" s="178" t="s">
        <v>50</v>
      </c>
      <c r="Y52" s="178"/>
      <c r="Z52" s="178"/>
      <c r="AA52" s="174">
        <f>AA34+AA51</f>
        <v>78502.960000000006</v>
      </c>
      <c r="AB52" s="175"/>
      <c r="AC52" s="175"/>
      <c r="AD52" s="176"/>
      <c r="AE52" s="177" t="s">
        <v>51</v>
      </c>
      <c r="AF52" s="178"/>
      <c r="AG52" s="178"/>
      <c r="AH52" s="179">
        <f>AH34+AH51</f>
        <v>96952.918749999997</v>
      </c>
      <c r="AI52" s="179"/>
      <c r="AJ52" s="179"/>
      <c r="AK52" s="179"/>
      <c r="AL52" s="179"/>
      <c r="AM52" s="180"/>
    </row>
    <row r="53" spans="1:51" ht="12" customHeight="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49"/>
      <c r="T53" s="9"/>
      <c r="U53" s="9"/>
      <c r="V53" s="9"/>
      <c r="W53" s="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9"/>
      <c r="AI53" s="9"/>
      <c r="AJ53" s="9"/>
      <c r="AK53" s="9"/>
      <c r="AL53" s="9"/>
      <c r="AM53" s="9"/>
    </row>
    <row r="54" spans="1:51" ht="12" customHeight="1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49"/>
      <c r="T54" s="9"/>
      <c r="U54" s="9"/>
      <c r="V54" s="9"/>
      <c r="W54" s="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9"/>
      <c r="AI54" s="9"/>
      <c r="AJ54" s="9"/>
      <c r="AK54" s="9"/>
      <c r="AL54" s="9"/>
      <c r="AM54" s="9"/>
    </row>
    <row r="55" spans="1:51" ht="12" customHeight="1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49"/>
      <c r="T55" s="9"/>
      <c r="U55" s="9"/>
      <c r="V55" s="9"/>
      <c r="W55" s="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9"/>
      <c r="AI55" s="9"/>
      <c r="AJ55" s="9"/>
      <c r="AK55" s="9"/>
      <c r="AL55" s="9"/>
      <c r="AM55" s="9"/>
    </row>
    <row r="56" spans="1:51" ht="12" customHeight="1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49"/>
      <c r="T56" s="9"/>
      <c r="U56" s="9"/>
      <c r="V56" s="9"/>
      <c r="W56" s="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9"/>
      <c r="AI56" s="9"/>
      <c r="AJ56" s="9"/>
      <c r="AK56" s="9"/>
      <c r="AL56" s="9"/>
      <c r="AM56" s="9"/>
    </row>
    <row r="57" spans="1:51" ht="12" customHeight="1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49"/>
      <c r="T57" s="9"/>
      <c r="U57" s="9"/>
      <c r="V57" s="9"/>
      <c r="W57" s="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9"/>
      <c r="AI57" s="9"/>
      <c r="AJ57" s="9"/>
      <c r="AK57" s="9"/>
      <c r="AL57" s="9"/>
      <c r="AM57" s="9"/>
    </row>
    <row r="58" spans="1:51" ht="12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49"/>
      <c r="T58" s="9"/>
      <c r="U58" s="9"/>
      <c r="V58" s="9"/>
      <c r="W58" s="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9"/>
      <c r="AI58" s="9"/>
      <c r="AJ58" s="9"/>
      <c r="AK58" s="9"/>
      <c r="AL58" s="9"/>
      <c r="AM58" s="9"/>
    </row>
    <row r="59" spans="1:51" ht="12" customHeight="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49"/>
      <c r="T59" s="9"/>
      <c r="U59" s="9"/>
      <c r="V59" s="9"/>
      <c r="W59" s="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9"/>
      <c r="AI59" s="9"/>
      <c r="AJ59" s="9"/>
      <c r="AK59" s="9"/>
      <c r="AL59" s="9"/>
      <c r="AM59" s="9"/>
    </row>
    <row r="60" spans="1:51" ht="12" customHeigh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49"/>
      <c r="T60" s="9"/>
      <c r="U60" s="9"/>
      <c r="V60" s="9"/>
      <c r="W60" s="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9"/>
      <c r="AI60" s="9"/>
      <c r="AJ60" s="9"/>
      <c r="AK60" s="9"/>
      <c r="AL60" s="9"/>
      <c r="AM60" s="9"/>
    </row>
    <row r="61" spans="1:51" ht="12" customHeight="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49"/>
      <c r="T61" s="9"/>
      <c r="U61" s="9"/>
      <c r="V61" s="9"/>
      <c r="W61" s="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9"/>
      <c r="AI61" s="9"/>
      <c r="AJ61" s="9"/>
      <c r="AK61" s="9"/>
      <c r="AL61" s="9"/>
      <c r="AM61" s="9"/>
    </row>
    <row r="62" spans="1:51" ht="12" customHeight="1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49"/>
      <c r="T62" s="9"/>
      <c r="U62" s="9"/>
      <c r="V62" s="9"/>
      <c r="W62" s="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9"/>
      <c r="AI62" s="9"/>
      <c r="AJ62" s="9"/>
      <c r="AK62" s="9"/>
      <c r="AL62" s="9"/>
      <c r="AM62" s="9"/>
    </row>
    <row r="63" spans="1:51" ht="12" customHeigh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49"/>
      <c r="T63" s="9"/>
      <c r="U63" s="9"/>
      <c r="V63" s="9"/>
      <c r="W63" s="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9"/>
      <c r="AI63" s="9"/>
      <c r="AJ63" s="9"/>
      <c r="AK63" s="9"/>
      <c r="AL63" s="9"/>
      <c r="AM63" s="9"/>
    </row>
    <row r="64" spans="1:51" ht="12" customHeight="1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49"/>
      <c r="T64" s="9"/>
      <c r="U64" s="9"/>
      <c r="V64" s="9"/>
      <c r="W64" s="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9"/>
      <c r="AI64" s="9"/>
      <c r="AJ64" s="9"/>
      <c r="AK64" s="9"/>
      <c r="AL64" s="9"/>
      <c r="AM64" s="9"/>
    </row>
    <row r="65" spans="1:39" ht="12" customHeight="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49"/>
      <c r="T65" s="9"/>
      <c r="U65" s="9"/>
      <c r="V65" s="9"/>
      <c r="W65" s="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9"/>
      <c r="AI65" s="9"/>
      <c r="AJ65" s="9"/>
      <c r="AK65" s="9"/>
      <c r="AL65" s="9"/>
      <c r="AM65" s="9"/>
    </row>
    <row r="66" spans="1:39" ht="12" customHeight="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49"/>
      <c r="T66" s="9"/>
      <c r="U66" s="9"/>
      <c r="V66" s="9"/>
      <c r="W66" s="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9"/>
      <c r="AI66" s="9"/>
      <c r="AJ66" s="9"/>
      <c r="AK66" s="9"/>
      <c r="AL66" s="9"/>
      <c r="AM66" s="9"/>
    </row>
    <row r="67" spans="1:39" ht="12" customHeight="1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49"/>
      <c r="T67" s="9"/>
      <c r="U67" s="9"/>
      <c r="V67" s="9"/>
      <c r="W67" s="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9"/>
      <c r="AI67" s="9"/>
      <c r="AJ67" s="9"/>
      <c r="AK67" s="9"/>
      <c r="AL67" s="9"/>
      <c r="AM67" s="9"/>
    </row>
    <row r="68" spans="1:39" ht="12" customHeight="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49"/>
      <c r="T68" s="9"/>
      <c r="U68" s="9"/>
      <c r="V68" s="9"/>
      <c r="W68" s="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9"/>
      <c r="AI68" s="9"/>
      <c r="AJ68" s="9"/>
      <c r="AK68" s="9"/>
      <c r="AL68" s="9"/>
      <c r="AM68" s="9"/>
    </row>
    <row r="69" spans="1:39" ht="12" customHeight="1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49"/>
      <c r="T69" s="9"/>
      <c r="U69" s="9"/>
      <c r="V69" s="9"/>
      <c r="W69" s="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9"/>
      <c r="AI69" s="9"/>
      <c r="AJ69" s="9"/>
      <c r="AK69" s="9"/>
      <c r="AL69" s="9"/>
      <c r="AM69" s="9"/>
    </row>
    <row r="70" spans="1:39" ht="12" customHeight="1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49"/>
      <c r="T70" s="9"/>
      <c r="U70" s="9"/>
      <c r="V70" s="9"/>
      <c r="W70" s="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9"/>
      <c r="AI70" s="9"/>
      <c r="AJ70" s="9"/>
      <c r="AK70" s="9"/>
      <c r="AL70" s="9"/>
      <c r="AM70" s="9"/>
    </row>
    <row r="71" spans="1:39" ht="12" customHeight="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49"/>
      <c r="T71" s="9"/>
      <c r="U71" s="9"/>
      <c r="V71" s="9"/>
      <c r="W71" s="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9"/>
      <c r="AI71" s="9"/>
      <c r="AJ71" s="9"/>
      <c r="AK71" s="9"/>
      <c r="AL71" s="9"/>
      <c r="AM71" s="9"/>
    </row>
    <row r="72" spans="1:39" ht="12" customHeight="1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49"/>
      <c r="T72" s="9"/>
      <c r="U72" s="9"/>
      <c r="V72" s="9"/>
      <c r="W72" s="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9"/>
      <c r="AI72" s="9"/>
      <c r="AJ72" s="9"/>
      <c r="AK72" s="9"/>
      <c r="AL72" s="9"/>
      <c r="AM72" s="9"/>
    </row>
    <row r="73" spans="1:39" ht="12" customHeight="1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49"/>
      <c r="T73" s="9"/>
      <c r="U73" s="9"/>
      <c r="V73" s="9"/>
      <c r="W73" s="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9"/>
      <c r="AI73" s="9"/>
      <c r="AJ73" s="9"/>
      <c r="AK73" s="9"/>
      <c r="AL73" s="9"/>
      <c r="AM73" s="9"/>
    </row>
    <row r="74" spans="1:39" ht="12" customHeight="1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49"/>
      <c r="T74" s="9"/>
      <c r="U74" s="9"/>
      <c r="V74" s="9"/>
      <c r="W74" s="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9"/>
      <c r="AI74" s="9"/>
      <c r="AJ74" s="9"/>
      <c r="AK74" s="9"/>
      <c r="AL74" s="9"/>
      <c r="AM74" s="9"/>
    </row>
    <row r="75" spans="1:39" ht="12" customHeight="1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49"/>
      <c r="T75" s="9"/>
      <c r="U75" s="9"/>
      <c r="V75" s="9"/>
      <c r="W75" s="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9"/>
      <c r="AI75" s="9"/>
      <c r="AJ75" s="9"/>
      <c r="AK75" s="9"/>
      <c r="AL75" s="9"/>
      <c r="AM75" s="9"/>
    </row>
    <row r="76" spans="1:39" ht="12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49"/>
      <c r="T76" s="9"/>
      <c r="U76" s="9"/>
      <c r="V76" s="9"/>
      <c r="W76" s="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9"/>
      <c r="AI76" s="9"/>
      <c r="AJ76" s="9"/>
      <c r="AK76" s="9"/>
      <c r="AL76" s="9"/>
      <c r="AM76" s="9"/>
    </row>
    <row r="77" spans="1:39" ht="12" customHeight="1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49"/>
      <c r="T77" s="9"/>
      <c r="U77" s="9"/>
      <c r="V77" s="9"/>
      <c r="W77" s="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9"/>
      <c r="AI77" s="9"/>
      <c r="AJ77" s="9"/>
      <c r="AK77" s="9"/>
      <c r="AL77" s="9"/>
      <c r="AM77" s="9"/>
    </row>
    <row r="78" spans="1:39" ht="12" customHeight="1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49"/>
      <c r="T78" s="9"/>
      <c r="U78" s="9"/>
      <c r="V78" s="9"/>
      <c r="W78" s="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9"/>
      <c r="AI78" s="9"/>
      <c r="AJ78" s="9"/>
      <c r="AK78" s="9"/>
      <c r="AL78" s="9"/>
      <c r="AM78" s="9"/>
    </row>
    <row r="79" spans="1:39" ht="12" customHeight="1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49"/>
      <c r="T79" s="9"/>
      <c r="U79" s="9"/>
      <c r="V79" s="9"/>
      <c r="W79" s="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9"/>
      <c r="AI79" s="9"/>
      <c r="AJ79" s="9"/>
      <c r="AK79" s="9"/>
      <c r="AL79" s="9"/>
      <c r="AM79" s="9"/>
    </row>
    <row r="80" spans="1:39" ht="12" customHeight="1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49"/>
      <c r="T80" s="9"/>
      <c r="U80" s="9"/>
      <c r="V80" s="9"/>
      <c r="W80" s="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9"/>
      <c r="AI80" s="9"/>
      <c r="AJ80" s="9"/>
      <c r="AK80" s="9"/>
      <c r="AL80" s="9"/>
      <c r="AM80" s="9"/>
    </row>
    <row r="81" spans="1:39" ht="12" customHeight="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49"/>
      <c r="T81" s="9"/>
      <c r="U81" s="9"/>
      <c r="V81" s="9"/>
      <c r="W81" s="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9"/>
      <c r="AI81" s="9"/>
      <c r="AJ81" s="9"/>
      <c r="AK81" s="9"/>
      <c r="AL81" s="9"/>
      <c r="AM81" s="9"/>
    </row>
    <row r="82" spans="1:39" ht="12" customHeight="1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49"/>
      <c r="T82" s="9"/>
      <c r="U82" s="9"/>
      <c r="V82" s="9"/>
      <c r="W82" s="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9"/>
      <c r="AI82" s="9"/>
      <c r="AJ82" s="9"/>
      <c r="AK82" s="9"/>
      <c r="AL82" s="9"/>
      <c r="AM82" s="9"/>
    </row>
    <row r="83" spans="1:39" ht="12" customHeight="1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49"/>
      <c r="T83" s="9"/>
      <c r="U83" s="9"/>
      <c r="V83" s="9"/>
      <c r="W83" s="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9"/>
      <c r="AI83" s="9"/>
      <c r="AJ83" s="9"/>
      <c r="AK83" s="9"/>
      <c r="AL83" s="9"/>
      <c r="AM83" s="9"/>
    </row>
    <row r="84" spans="1:39" ht="12" customHeight="1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49"/>
      <c r="T84" s="9"/>
      <c r="U84" s="9"/>
      <c r="V84" s="9"/>
      <c r="W84" s="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9"/>
      <c r="AI84" s="9"/>
      <c r="AJ84" s="9"/>
      <c r="AK84" s="9"/>
      <c r="AL84" s="9"/>
      <c r="AM84" s="9"/>
    </row>
    <row r="85" spans="1:39" ht="12" customHeight="1" x14ac:dyDescent="0.2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49"/>
      <c r="T85" s="9"/>
      <c r="U85" s="9"/>
      <c r="V85" s="9"/>
      <c r="W85" s="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9"/>
      <c r="AI85" s="9"/>
      <c r="AJ85" s="9"/>
      <c r="AK85" s="9"/>
      <c r="AL85" s="9"/>
      <c r="AM85" s="9"/>
    </row>
    <row r="86" spans="1:39" ht="12" customHeight="1" x14ac:dyDescent="0.2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49"/>
      <c r="T86" s="9"/>
      <c r="U86" s="9"/>
      <c r="V86" s="9"/>
      <c r="W86" s="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9"/>
      <c r="AI86" s="9"/>
      <c r="AJ86" s="9"/>
      <c r="AK86" s="9"/>
      <c r="AL86" s="9"/>
      <c r="AM86" s="9"/>
    </row>
    <row r="87" spans="1:39" ht="12" customHeight="1" x14ac:dyDescent="0.2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49"/>
      <c r="T87" s="9"/>
      <c r="U87" s="9"/>
      <c r="V87" s="9"/>
      <c r="W87" s="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9"/>
      <c r="AI87" s="9"/>
      <c r="AJ87" s="9"/>
      <c r="AK87" s="9"/>
      <c r="AL87" s="9"/>
      <c r="AM87" s="9"/>
    </row>
    <row r="88" spans="1:39" ht="12" customHeight="1" x14ac:dyDescent="0.2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49"/>
      <c r="T88" s="9"/>
      <c r="U88" s="9"/>
      <c r="V88" s="9"/>
      <c r="W88" s="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9"/>
      <c r="AI88" s="9"/>
      <c r="AJ88" s="9"/>
      <c r="AK88" s="9"/>
      <c r="AL88" s="9"/>
      <c r="AM88" s="9"/>
    </row>
    <row r="89" spans="1:39" ht="12" customHeight="1" x14ac:dyDescent="0.2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49"/>
      <c r="T89" s="9"/>
      <c r="U89" s="9"/>
      <c r="V89" s="9"/>
      <c r="W89" s="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9"/>
      <c r="AI89" s="9"/>
      <c r="AJ89" s="9"/>
      <c r="AK89" s="9"/>
      <c r="AL89" s="9"/>
      <c r="AM89" s="9"/>
    </row>
  </sheetData>
  <mergeCells count="255">
    <mergeCell ref="AF13:AM13"/>
    <mergeCell ref="A52:W52"/>
    <mergeCell ref="D40:E40"/>
    <mergeCell ref="F40:R40"/>
    <mergeCell ref="S40:T40"/>
    <mergeCell ref="U40:W40"/>
    <mergeCell ref="X40:Z40"/>
    <mergeCell ref="AA40:AD40"/>
    <mergeCell ref="AE40:AG40"/>
    <mergeCell ref="AH40:AM40"/>
    <mergeCell ref="X41:Z41"/>
    <mergeCell ref="AA41:AD41"/>
    <mergeCell ref="D41:E41"/>
    <mergeCell ref="F41:R41"/>
    <mergeCell ref="S41:T41"/>
    <mergeCell ref="U41:W41"/>
    <mergeCell ref="E15:AM16"/>
    <mergeCell ref="A15:D16"/>
    <mergeCell ref="A18:W19"/>
    <mergeCell ref="AE41:AG41"/>
    <mergeCell ref="B40:C40"/>
    <mergeCell ref="B45:C45"/>
    <mergeCell ref="B41:C41"/>
    <mergeCell ref="X42:Z42"/>
    <mergeCell ref="AE43:AG43"/>
    <mergeCell ref="D43:E43"/>
    <mergeCell ref="F45:Q45"/>
    <mergeCell ref="B50:C50"/>
    <mergeCell ref="D50:E50"/>
    <mergeCell ref="F50:R50"/>
    <mergeCell ref="AA50:AD50"/>
    <mergeCell ref="AE50:AG50"/>
    <mergeCell ref="F44:Q44"/>
    <mergeCell ref="D44:E44"/>
    <mergeCell ref="U44:W44"/>
    <mergeCell ref="X44:Z44"/>
    <mergeCell ref="AA44:AD44"/>
    <mergeCell ref="AE44:AG44"/>
    <mergeCell ref="S44:T44"/>
    <mergeCell ref="U43:W43"/>
    <mergeCell ref="B49:C49"/>
    <mergeCell ref="D49:E49"/>
    <mergeCell ref="S49:T49"/>
    <mergeCell ref="U49:W49"/>
    <mergeCell ref="B47:C47"/>
    <mergeCell ref="D47:E47"/>
    <mergeCell ref="F47:Q47"/>
    <mergeCell ref="S47:T47"/>
    <mergeCell ref="D36:E36"/>
    <mergeCell ref="U37:W37"/>
    <mergeCell ref="AE36:AG36"/>
    <mergeCell ref="AE38:AG38"/>
    <mergeCell ref="AA37:AD37"/>
    <mergeCell ref="AE37:AG37"/>
    <mergeCell ref="S36:T36"/>
    <mergeCell ref="U36:W36"/>
    <mergeCell ref="X36:Z36"/>
    <mergeCell ref="AH33:AM33"/>
    <mergeCell ref="D35:E35"/>
    <mergeCell ref="F35:R35"/>
    <mergeCell ref="S35:T35"/>
    <mergeCell ref="U35:W35"/>
    <mergeCell ref="AE35:AG35"/>
    <mergeCell ref="F34:R34"/>
    <mergeCell ref="X34:Z34"/>
    <mergeCell ref="AA34:AD34"/>
    <mergeCell ref="X35:Z35"/>
    <mergeCell ref="AA35:AD35"/>
    <mergeCell ref="AE34:AG34"/>
    <mergeCell ref="X33:Z33"/>
    <mergeCell ref="AA33:AD33"/>
    <mergeCell ref="AE33:AG33"/>
    <mergeCell ref="AW34:AY34"/>
    <mergeCell ref="AW35:AY35"/>
    <mergeCell ref="AW36:AY36"/>
    <mergeCell ref="AH39:AM39"/>
    <mergeCell ref="AH51:AM51"/>
    <mergeCell ref="AH35:AM35"/>
    <mergeCell ref="AH36:AM36"/>
    <mergeCell ref="AH38:AM38"/>
    <mergeCell ref="AH37:AM37"/>
    <mergeCell ref="AW39:AY39"/>
    <mergeCell ref="AH34:AM34"/>
    <mergeCell ref="AH41:AM41"/>
    <mergeCell ref="AW51:AY51"/>
    <mergeCell ref="AH42:AM42"/>
    <mergeCell ref="AH50:AM50"/>
    <mergeCell ref="AH44:AM44"/>
    <mergeCell ref="AH43:AM43"/>
    <mergeCell ref="AH45:AM45"/>
    <mergeCell ref="A14:V14"/>
    <mergeCell ref="W14:AE14"/>
    <mergeCell ref="AF14:AM14"/>
    <mergeCell ref="X18:AH19"/>
    <mergeCell ref="AI18:AM19"/>
    <mergeCell ref="K20:L20"/>
    <mergeCell ref="A27:A29"/>
    <mergeCell ref="F27:R29"/>
    <mergeCell ref="S27:T29"/>
    <mergeCell ref="U27:W29"/>
    <mergeCell ref="X27:AM27"/>
    <mergeCell ref="V24:W24"/>
    <mergeCell ref="X28:AD28"/>
    <mergeCell ref="N23:O23"/>
    <mergeCell ref="V23:W23"/>
    <mergeCell ref="K24:L24"/>
    <mergeCell ref="N24:O24"/>
    <mergeCell ref="J25:O25"/>
    <mergeCell ref="V25:W25"/>
    <mergeCell ref="B27:C29"/>
    <mergeCell ref="D27:E29"/>
    <mergeCell ref="AW31:AY31"/>
    <mergeCell ref="AW30:AY30"/>
    <mergeCell ref="AR27:AS27"/>
    <mergeCell ref="B30:C30"/>
    <mergeCell ref="D30:E30"/>
    <mergeCell ref="F30:R30"/>
    <mergeCell ref="A2:AM3"/>
    <mergeCell ref="A5:X5"/>
    <mergeCell ref="AD5:AM5"/>
    <mergeCell ref="A8:AC8"/>
    <mergeCell ref="AD8:AM8"/>
    <mergeCell ref="A11:V11"/>
    <mergeCell ref="W11:AK11"/>
    <mergeCell ref="AL11:AM11"/>
    <mergeCell ref="X20:AM25"/>
    <mergeCell ref="K21:L21"/>
    <mergeCell ref="N21:O21"/>
    <mergeCell ref="V21:W21"/>
    <mergeCell ref="K22:L22"/>
    <mergeCell ref="N22:O22"/>
    <mergeCell ref="V22:W22"/>
    <mergeCell ref="K23:L23"/>
    <mergeCell ref="N20:O20"/>
    <mergeCell ref="V20:W20"/>
    <mergeCell ref="S30:T30"/>
    <mergeCell ref="U30:W30"/>
    <mergeCell ref="X30:Z30"/>
    <mergeCell ref="AA30:AD30"/>
    <mergeCell ref="AE28:AM28"/>
    <mergeCell ref="X29:Z29"/>
    <mergeCell ref="AA29:AD29"/>
    <mergeCell ref="AE29:AG29"/>
    <mergeCell ref="AH29:AM29"/>
    <mergeCell ref="AE30:AG30"/>
    <mergeCell ref="AH30:AM30"/>
    <mergeCell ref="AH31:AM31"/>
    <mergeCell ref="B31:C31"/>
    <mergeCell ref="D31:E31"/>
    <mergeCell ref="F31:R31"/>
    <mergeCell ref="S31:T31"/>
    <mergeCell ref="U31:W31"/>
    <mergeCell ref="X31:Z31"/>
    <mergeCell ref="AA31:AD31"/>
    <mergeCell ref="AE31:AG31"/>
    <mergeCell ref="F32:Q32"/>
    <mergeCell ref="S32:T32"/>
    <mergeCell ref="U32:W32"/>
    <mergeCell ref="AE32:AG32"/>
    <mergeCell ref="AH32:AM32"/>
    <mergeCell ref="AA32:AD32"/>
    <mergeCell ref="X32:Z32"/>
    <mergeCell ref="B32:C32"/>
    <mergeCell ref="D32:E32"/>
    <mergeCell ref="B33:C33"/>
    <mergeCell ref="U51:W51"/>
    <mergeCell ref="X51:Z51"/>
    <mergeCell ref="AA51:AD51"/>
    <mergeCell ref="AE51:AG51"/>
    <mergeCell ref="D33:E33"/>
    <mergeCell ref="F33:R33"/>
    <mergeCell ref="S33:T33"/>
    <mergeCell ref="U33:W33"/>
    <mergeCell ref="B35:C35"/>
    <mergeCell ref="B37:C37"/>
    <mergeCell ref="D37:E37"/>
    <mergeCell ref="F37:R37"/>
    <mergeCell ref="S37:T37"/>
    <mergeCell ref="S38:T38"/>
    <mergeCell ref="U38:W38"/>
    <mergeCell ref="X38:Z38"/>
    <mergeCell ref="AA38:AD38"/>
    <mergeCell ref="AA36:AD36"/>
    <mergeCell ref="B42:C42"/>
    <mergeCell ref="D42:E42"/>
    <mergeCell ref="F42:R42"/>
    <mergeCell ref="S42:T42"/>
    <mergeCell ref="B36:C36"/>
    <mergeCell ref="AA52:AD52"/>
    <mergeCell ref="AE52:AG52"/>
    <mergeCell ref="AH52:AM52"/>
    <mergeCell ref="X52:Z52"/>
    <mergeCell ref="B51:C51"/>
    <mergeCell ref="D51:E51"/>
    <mergeCell ref="F51:R51"/>
    <mergeCell ref="S51:T51"/>
    <mergeCell ref="U42:W42"/>
    <mergeCell ref="AA46:AD46"/>
    <mergeCell ref="AE46:AG46"/>
    <mergeCell ref="AH46:AM46"/>
    <mergeCell ref="AA49:AD49"/>
    <mergeCell ref="AE49:AG49"/>
    <mergeCell ref="AH49:AM49"/>
    <mergeCell ref="U47:W47"/>
    <mergeCell ref="X47:Z47"/>
    <mergeCell ref="AA47:AD47"/>
    <mergeCell ref="AE47:AG47"/>
    <mergeCell ref="AH47:AM47"/>
    <mergeCell ref="B48:C48"/>
    <mergeCell ref="D48:E48"/>
    <mergeCell ref="F48:Q48"/>
    <mergeCell ref="S48:T48"/>
    <mergeCell ref="B39:C39"/>
    <mergeCell ref="D39:E39"/>
    <mergeCell ref="F39:R39"/>
    <mergeCell ref="S39:T39"/>
    <mergeCell ref="U39:W39"/>
    <mergeCell ref="X39:Z39"/>
    <mergeCell ref="B38:C38"/>
    <mergeCell ref="D38:E38"/>
    <mergeCell ref="F38:R38"/>
    <mergeCell ref="B44:C44"/>
    <mergeCell ref="F43:Q43"/>
    <mergeCell ref="B43:C43"/>
    <mergeCell ref="S43:T43"/>
    <mergeCell ref="F46:Q46"/>
    <mergeCell ref="B46:C46"/>
    <mergeCell ref="D46:E46"/>
    <mergeCell ref="S46:T46"/>
    <mergeCell ref="D45:E45"/>
    <mergeCell ref="S45:T45"/>
    <mergeCell ref="AA48:AD48"/>
    <mergeCell ref="AE48:AG48"/>
    <mergeCell ref="AH48:AM48"/>
    <mergeCell ref="F36:R36"/>
    <mergeCell ref="S50:T50"/>
    <mergeCell ref="U50:W50"/>
    <mergeCell ref="X50:Z50"/>
    <mergeCell ref="X46:Z46"/>
    <mergeCell ref="F49:Q49"/>
    <mergeCell ref="X37:Z37"/>
    <mergeCell ref="X45:Z45"/>
    <mergeCell ref="AA45:AD45"/>
    <mergeCell ref="AE45:AG45"/>
    <mergeCell ref="X49:Z49"/>
    <mergeCell ref="U46:W46"/>
    <mergeCell ref="U45:W45"/>
    <mergeCell ref="U48:W48"/>
    <mergeCell ref="X48:Z48"/>
    <mergeCell ref="AA39:AD39"/>
    <mergeCell ref="AE39:AG39"/>
    <mergeCell ref="AA42:AD42"/>
    <mergeCell ref="AE42:AG42"/>
    <mergeCell ref="X43:Z43"/>
    <mergeCell ref="AA43:AD43"/>
  </mergeCells>
  <phoneticPr fontId="25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42" fitToHeight="0" orientation="portrait" r:id="rId1"/>
  <ignoredErrors>
    <ignoredError sqref="AA35:AG35 V31:W31 AA31:AD31 V39:W39 V36:W36 AA36:AD36 AA39:AD39 U34:W34 AF31:AG31 AF36:AG36 AF39:AG39 AB34:AG34 AB51:AG51 U35:W35 U51:W5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workbookViewId="0">
      <selection activeCell="G22" sqref="G22"/>
    </sheetView>
  </sheetViews>
  <sheetFormatPr defaultRowHeight="12.75" x14ac:dyDescent="0.2"/>
  <cols>
    <col min="1" max="1" width="6.42578125" customWidth="1"/>
    <col min="2" max="2" width="31.28515625" customWidth="1"/>
    <col min="3" max="3" width="9.28515625" customWidth="1"/>
    <col min="4" max="4" width="19.5703125" style="120" customWidth="1"/>
    <col min="5" max="5" width="12.140625" style="120" customWidth="1"/>
    <col min="6" max="6" width="12.42578125" style="120" bestFit="1" customWidth="1"/>
    <col min="7" max="7" width="12.28515625" style="120" bestFit="1" customWidth="1"/>
  </cols>
  <sheetData>
    <row r="1" spans="1:7" ht="13.5" thickBot="1" x14ac:dyDescent="0.25">
      <c r="A1" s="50"/>
      <c r="B1" s="51"/>
      <c r="C1" s="52"/>
      <c r="D1" s="112"/>
      <c r="E1" s="121"/>
      <c r="F1" s="121"/>
      <c r="G1" s="126"/>
    </row>
    <row r="2" spans="1:7" ht="13.5" thickBot="1" x14ac:dyDescent="0.25">
      <c r="A2" s="376" t="s">
        <v>54</v>
      </c>
      <c r="B2" s="377"/>
      <c r="C2" s="377"/>
      <c r="D2" s="377"/>
      <c r="E2" s="377"/>
      <c r="F2" s="377"/>
      <c r="G2" s="127"/>
    </row>
    <row r="3" spans="1:7" x14ac:dyDescent="0.2">
      <c r="A3" s="378"/>
      <c r="B3" s="379"/>
      <c r="C3" s="379"/>
      <c r="D3" s="379"/>
      <c r="E3" s="379"/>
      <c r="F3" s="379"/>
      <c r="G3" s="128"/>
    </row>
    <row r="4" spans="1:7" x14ac:dyDescent="0.2">
      <c r="A4" s="53"/>
      <c r="B4" s="54"/>
      <c r="C4" s="55"/>
      <c r="D4" s="113"/>
      <c r="E4" s="122"/>
      <c r="F4" s="122"/>
      <c r="G4" s="128"/>
    </row>
    <row r="5" spans="1:7" ht="13.5" thickBot="1" x14ac:dyDescent="0.25">
      <c r="A5" s="376" t="s">
        <v>112</v>
      </c>
      <c r="B5" s="377"/>
      <c r="C5" s="377"/>
      <c r="D5" s="377"/>
      <c r="E5" s="377"/>
      <c r="F5" s="377"/>
      <c r="G5" s="129"/>
    </row>
    <row r="6" spans="1:7" x14ac:dyDescent="0.2">
      <c r="A6" s="380" t="s">
        <v>113</v>
      </c>
      <c r="B6" s="381"/>
      <c r="C6" s="382"/>
      <c r="D6" s="382"/>
      <c r="E6" s="382"/>
      <c r="F6" s="382"/>
      <c r="G6" s="130"/>
    </row>
    <row r="7" spans="1:7" ht="13.5" thickBot="1" x14ac:dyDescent="0.25">
      <c r="A7" s="371" t="s">
        <v>176</v>
      </c>
      <c r="B7" s="372"/>
      <c r="C7" s="373" t="s">
        <v>175</v>
      </c>
      <c r="D7" s="374"/>
      <c r="E7" s="374"/>
      <c r="F7" s="374"/>
      <c r="G7" s="129"/>
    </row>
    <row r="8" spans="1:7" ht="33.75" x14ac:dyDescent="0.2">
      <c r="A8" s="56" t="s">
        <v>0</v>
      </c>
      <c r="B8" s="57" t="s">
        <v>114</v>
      </c>
      <c r="C8" s="58" t="s">
        <v>115</v>
      </c>
      <c r="D8" s="58" t="s">
        <v>116</v>
      </c>
      <c r="E8" s="57" t="s">
        <v>117</v>
      </c>
      <c r="F8" s="57" t="s">
        <v>118</v>
      </c>
      <c r="G8" s="64" t="s">
        <v>121</v>
      </c>
    </row>
    <row r="9" spans="1:7" ht="12.75" customHeight="1" x14ac:dyDescent="0.2">
      <c r="A9" s="375">
        <v>1</v>
      </c>
      <c r="B9" s="370" t="s">
        <v>52</v>
      </c>
      <c r="C9" s="59" t="s">
        <v>119</v>
      </c>
      <c r="D9" s="137">
        <f>(D10/D22)</f>
        <v>6.7601574913906351E-2</v>
      </c>
      <c r="E9" s="138">
        <v>1</v>
      </c>
      <c r="F9" s="114"/>
      <c r="G9" s="131">
        <f>D9</f>
        <v>6.7601574913906351E-2</v>
      </c>
    </row>
    <row r="10" spans="1:7" ht="12.75" customHeight="1" x14ac:dyDescent="0.2">
      <c r="A10" s="369"/>
      <c r="B10" s="370"/>
      <c r="C10" s="60" t="s">
        <v>120</v>
      </c>
      <c r="D10" s="115">
        <f>PLANILHA!AH34</f>
        <v>6554.17</v>
      </c>
      <c r="E10" s="115">
        <f>D10</f>
        <v>6554.17</v>
      </c>
      <c r="F10" s="115"/>
      <c r="G10" s="132">
        <f>D10</f>
        <v>6554.17</v>
      </c>
    </row>
    <row r="11" spans="1:7" ht="12.75" customHeight="1" x14ac:dyDescent="0.2">
      <c r="A11" s="368">
        <v>2</v>
      </c>
      <c r="B11" s="370" t="str">
        <f>PLANILHA!F35</f>
        <v>INSTALAÇÃO ELÉTRICA</v>
      </c>
      <c r="C11" s="60" t="s">
        <v>119</v>
      </c>
      <c r="D11" s="114">
        <f>(D12/D22)</f>
        <v>0.93239842508609372</v>
      </c>
      <c r="E11" s="114"/>
      <c r="F11" s="138">
        <v>1</v>
      </c>
      <c r="G11" s="133">
        <f>D11</f>
        <v>0.93239842508609372</v>
      </c>
    </row>
    <row r="12" spans="1:7" ht="12.75" customHeight="1" x14ac:dyDescent="0.2">
      <c r="A12" s="369"/>
      <c r="B12" s="370"/>
      <c r="C12" s="60" t="s">
        <v>120</v>
      </c>
      <c r="D12" s="115">
        <f>PLANILHA!AH51</f>
        <v>90398.748749999999</v>
      </c>
      <c r="E12" s="115"/>
      <c r="F12" s="115">
        <f>D12</f>
        <v>90398.748749999999</v>
      </c>
      <c r="G12" s="132">
        <f>E12+F12</f>
        <v>90398.748749999999</v>
      </c>
    </row>
    <row r="13" spans="1:7" x14ac:dyDescent="0.2">
      <c r="A13" s="358"/>
      <c r="B13" s="360"/>
      <c r="C13" s="60" t="s">
        <v>119</v>
      </c>
      <c r="D13" s="114"/>
      <c r="E13" s="114"/>
      <c r="F13" s="114"/>
      <c r="G13" s="133"/>
    </row>
    <row r="14" spans="1:7" x14ac:dyDescent="0.2">
      <c r="A14" s="358"/>
      <c r="B14" s="360"/>
      <c r="C14" s="60" t="s">
        <v>120</v>
      </c>
      <c r="D14" s="115"/>
      <c r="E14" s="115"/>
      <c r="F14" s="115"/>
      <c r="G14" s="132"/>
    </row>
    <row r="15" spans="1:7" x14ac:dyDescent="0.2">
      <c r="A15" s="358"/>
      <c r="B15" s="360"/>
      <c r="C15" s="60" t="s">
        <v>119</v>
      </c>
      <c r="D15" s="114"/>
      <c r="E15" s="114"/>
      <c r="F15" s="114"/>
      <c r="G15" s="133"/>
    </row>
    <row r="16" spans="1:7" x14ac:dyDescent="0.2">
      <c r="A16" s="358"/>
      <c r="B16" s="360"/>
      <c r="C16" s="60" t="s">
        <v>120</v>
      </c>
      <c r="D16" s="115"/>
      <c r="E16" s="115"/>
      <c r="F16" s="115"/>
      <c r="G16" s="132"/>
    </row>
    <row r="17" spans="1:7" x14ac:dyDescent="0.2">
      <c r="A17" s="366"/>
      <c r="B17" s="367"/>
      <c r="C17" s="60" t="s">
        <v>119</v>
      </c>
      <c r="D17" s="114"/>
      <c r="E17" s="114"/>
      <c r="F17" s="114"/>
      <c r="G17" s="133"/>
    </row>
    <row r="18" spans="1:7" x14ac:dyDescent="0.2">
      <c r="A18" s="366"/>
      <c r="B18" s="367"/>
      <c r="C18" s="60" t="s">
        <v>120</v>
      </c>
      <c r="D18" s="115"/>
      <c r="E18" s="115"/>
      <c r="F18" s="115"/>
      <c r="G18" s="132"/>
    </row>
    <row r="19" spans="1:7" x14ac:dyDescent="0.2">
      <c r="A19" s="358"/>
      <c r="B19" s="360"/>
      <c r="C19" s="60" t="s">
        <v>119</v>
      </c>
      <c r="D19" s="114"/>
      <c r="E19" s="114"/>
      <c r="F19" s="114"/>
      <c r="G19" s="133"/>
    </row>
    <row r="20" spans="1:7" x14ac:dyDescent="0.2">
      <c r="A20" s="359"/>
      <c r="B20" s="361"/>
      <c r="C20" s="61" t="s">
        <v>120</v>
      </c>
      <c r="D20" s="115"/>
      <c r="E20" s="115"/>
      <c r="F20" s="115"/>
      <c r="G20" s="132"/>
    </row>
    <row r="21" spans="1:7" x14ac:dyDescent="0.2">
      <c r="A21" s="362" t="s">
        <v>121</v>
      </c>
      <c r="B21" s="363"/>
      <c r="C21" s="62" t="s">
        <v>119</v>
      </c>
      <c r="D21" s="116">
        <f>D11+D9</f>
        <v>1</v>
      </c>
      <c r="E21" s="116">
        <f>E9*D9</f>
        <v>6.7601574913906351E-2</v>
      </c>
      <c r="F21" s="116">
        <f>F11*D11</f>
        <v>0.93239842508609372</v>
      </c>
      <c r="G21" s="131">
        <f>SUM(E21:F21)</f>
        <v>1</v>
      </c>
    </row>
    <row r="22" spans="1:7" ht="13.5" thickBot="1" x14ac:dyDescent="0.25">
      <c r="A22" s="364"/>
      <c r="B22" s="365"/>
      <c r="C22" s="63" t="s">
        <v>120</v>
      </c>
      <c r="D22" s="117">
        <f>D10+D12</f>
        <v>96952.918749999997</v>
      </c>
      <c r="E22" s="117">
        <f>E21*D22</f>
        <v>6554.17</v>
      </c>
      <c r="F22" s="117">
        <f>F21*D22</f>
        <v>90398.748749999999</v>
      </c>
      <c r="G22" s="134">
        <f>E22+F22</f>
        <v>96952.918749999997</v>
      </c>
    </row>
    <row r="23" spans="1:7" x14ac:dyDescent="0.2">
      <c r="A23" s="43"/>
      <c r="B23" s="49"/>
      <c r="C23" s="44"/>
      <c r="D23" s="118"/>
      <c r="E23" s="123"/>
      <c r="F23" s="125"/>
    </row>
    <row r="24" spans="1:7" x14ac:dyDescent="0.2">
      <c r="A24" s="45"/>
      <c r="B24" s="48"/>
      <c r="C24" s="46"/>
      <c r="D24" s="119"/>
      <c r="E24" s="124"/>
      <c r="F24" s="125"/>
    </row>
  </sheetData>
  <mergeCells count="20">
    <mergeCell ref="C7:F7"/>
    <mergeCell ref="A9:A10"/>
    <mergeCell ref="B9:B10"/>
    <mergeCell ref="A2:F2"/>
    <mergeCell ref="A3:F3"/>
    <mergeCell ref="A5:F5"/>
    <mergeCell ref="A6:B6"/>
    <mergeCell ref="C6:F6"/>
    <mergeCell ref="A11:A12"/>
    <mergeCell ref="B11:B12"/>
    <mergeCell ref="A7:B7"/>
    <mergeCell ref="A13:A14"/>
    <mergeCell ref="B13:B14"/>
    <mergeCell ref="A19:A20"/>
    <mergeCell ref="B19:B20"/>
    <mergeCell ref="A21:B22"/>
    <mergeCell ref="A15:A16"/>
    <mergeCell ref="B15:B16"/>
    <mergeCell ref="A17:A18"/>
    <mergeCell ref="B17:B18"/>
  </mergeCells>
  <pageMargins left="0.25" right="0.25" top="0.75" bottom="0.75" header="0.3" footer="0.3"/>
  <pageSetup paperSize="9" scale="97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51"/>
  <sheetViews>
    <sheetView topLeftCell="I1" workbookViewId="0">
      <selection activeCell="U17" sqref="U17"/>
    </sheetView>
  </sheetViews>
  <sheetFormatPr defaultRowHeight="12.75" x14ac:dyDescent="0.2"/>
  <cols>
    <col min="1" max="8" width="0" hidden="1" customWidth="1"/>
    <col min="12" max="12" width="13" customWidth="1"/>
    <col min="14" max="14" width="11.140625" bestFit="1" customWidth="1"/>
    <col min="15" max="15" width="9.85546875" customWidth="1"/>
    <col min="16" max="16" width="10.42578125" customWidth="1"/>
    <col min="18" max="18" width="9.42578125" bestFit="1" customWidth="1"/>
  </cols>
  <sheetData>
    <row r="1" spans="1:19" ht="15.75" x14ac:dyDescent="0.25">
      <c r="A1" s="13"/>
      <c r="B1" s="13"/>
      <c r="C1" s="13"/>
      <c r="D1" s="13"/>
      <c r="E1" s="14" t="s">
        <v>55</v>
      </c>
      <c r="F1" s="14" t="s">
        <v>56</v>
      </c>
      <c r="G1" s="14" t="s">
        <v>57</v>
      </c>
      <c r="H1" s="13"/>
      <c r="I1" s="13"/>
      <c r="J1" s="13"/>
      <c r="K1" s="13"/>
      <c r="L1" s="13"/>
      <c r="M1" s="13"/>
      <c r="N1" s="15" t="s">
        <v>110</v>
      </c>
      <c r="O1" s="13"/>
      <c r="P1" s="13"/>
      <c r="S1" s="13"/>
    </row>
    <row r="2" spans="1:19" x14ac:dyDescent="0.2">
      <c r="A2" s="13" t="s">
        <v>58</v>
      </c>
      <c r="B2" s="16" t="s">
        <v>59</v>
      </c>
      <c r="C2" s="13" t="str">
        <f t="shared" ref="C2:C49" si="0">CONCATENATE(A2,"-",B2)</f>
        <v>Construção e Reforma de Edifícios-AC</v>
      </c>
      <c r="D2" s="13"/>
      <c r="E2" s="17">
        <v>0.03</v>
      </c>
      <c r="F2" s="17">
        <v>0.04</v>
      </c>
      <c r="G2" s="17">
        <v>5.5E-2</v>
      </c>
      <c r="H2" s="13"/>
      <c r="I2" s="13"/>
      <c r="J2" s="13"/>
      <c r="K2" s="13"/>
      <c r="L2" s="13"/>
      <c r="M2" s="13"/>
      <c r="N2" s="13"/>
      <c r="O2" s="13"/>
      <c r="P2" s="13"/>
      <c r="S2" s="13"/>
    </row>
    <row r="3" spans="1:19" x14ac:dyDescent="0.2">
      <c r="A3" s="13" t="str">
        <f>A2</f>
        <v>Construção e Reforma de Edifícios</v>
      </c>
      <c r="B3" s="16" t="s">
        <v>60</v>
      </c>
      <c r="C3" s="13" t="str">
        <f t="shared" si="0"/>
        <v>Construção e Reforma de Edifícios-SG</v>
      </c>
      <c r="D3" s="13"/>
      <c r="E3" s="17">
        <v>8.0000000000000002E-3</v>
      </c>
      <c r="F3" s="17">
        <v>8.0000000000000002E-3</v>
      </c>
      <c r="G3" s="17">
        <v>0.01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x14ac:dyDescent="0.2">
      <c r="A4" s="13" t="str">
        <f>A3</f>
        <v>Construção e Reforma de Edifícios</v>
      </c>
      <c r="B4" s="16" t="s">
        <v>61</v>
      </c>
      <c r="C4" s="13" t="str">
        <f t="shared" si="0"/>
        <v>Construção e Reforma de Edifícios-R</v>
      </c>
      <c r="D4" s="13"/>
      <c r="E4" s="17">
        <v>9.7000000000000003E-3</v>
      </c>
      <c r="F4" s="17">
        <v>1.2699999999999999E-2</v>
      </c>
      <c r="G4" s="17">
        <v>1.2699999999999999E-2</v>
      </c>
      <c r="H4" s="13"/>
      <c r="I4" s="410" t="s">
        <v>62</v>
      </c>
      <c r="J4" s="412"/>
      <c r="K4" s="410" t="s">
        <v>63</v>
      </c>
      <c r="L4" s="411"/>
      <c r="M4" s="411"/>
      <c r="N4" s="411"/>
      <c r="O4" s="411"/>
      <c r="P4" s="411"/>
      <c r="Q4" s="411"/>
      <c r="R4" s="412"/>
      <c r="S4" s="13"/>
    </row>
    <row r="5" spans="1:19" ht="19.5" x14ac:dyDescent="0.3">
      <c r="A5" s="13" t="str">
        <f>A4</f>
        <v>Construção e Reforma de Edifícios</v>
      </c>
      <c r="B5" s="16" t="s">
        <v>64</v>
      </c>
      <c r="C5" s="13" t="str">
        <f t="shared" si="0"/>
        <v>Construção e Reforma de Edifícios-DF</v>
      </c>
      <c r="D5" s="13"/>
      <c r="E5" s="17">
        <v>5.8999999999999999E-3</v>
      </c>
      <c r="F5" s="17">
        <v>1.23E-2</v>
      </c>
      <c r="G5" s="17">
        <v>1.3899999999999999E-2</v>
      </c>
      <c r="H5" s="13"/>
      <c r="I5" s="420" t="s">
        <v>135</v>
      </c>
      <c r="J5" s="421"/>
      <c r="K5" s="422" t="str">
        <f>[1]DADOS!A32</f>
        <v>PREFEITURA MUNICPAL DE PAPAGAIOS</v>
      </c>
      <c r="L5" s="423"/>
      <c r="M5" s="423"/>
      <c r="N5" s="423"/>
      <c r="O5" s="423"/>
      <c r="P5" s="423"/>
      <c r="Q5" s="423"/>
      <c r="R5" s="421"/>
      <c r="S5" s="18"/>
    </row>
    <row r="6" spans="1:19" x14ac:dyDescent="0.2">
      <c r="A6" s="13" t="str">
        <f>A5</f>
        <v>Construção e Reforma de Edifícios</v>
      </c>
      <c r="B6" s="16" t="s">
        <v>65</v>
      </c>
      <c r="C6" s="13" t="str">
        <f t="shared" si="0"/>
        <v>Construção e Reforma de Edifícios-L</v>
      </c>
      <c r="D6" s="13"/>
      <c r="E6" s="17">
        <v>6.1600000000000002E-2</v>
      </c>
      <c r="F6" s="17">
        <v>7.400000000000001E-2</v>
      </c>
      <c r="G6" s="17">
        <v>8.9600000000000013E-2</v>
      </c>
      <c r="H6" s="13"/>
      <c r="I6" s="19"/>
      <c r="J6" s="19"/>
      <c r="K6" s="19"/>
      <c r="L6" s="19"/>
      <c r="M6" s="19"/>
      <c r="N6" s="19"/>
      <c r="O6" s="19"/>
      <c r="P6" s="19"/>
      <c r="Q6" s="19"/>
      <c r="R6" s="19"/>
      <c r="S6" s="13"/>
    </row>
    <row r="7" spans="1:19" x14ac:dyDescent="0.2">
      <c r="A7" s="13" t="str">
        <f>A6</f>
        <v>Construção e Reforma de Edifícios</v>
      </c>
      <c r="B7" s="20" t="s">
        <v>66</v>
      </c>
      <c r="C7" s="13" t="str">
        <f t="shared" si="0"/>
        <v>Construção e Reforma de Edifícios-BDI PAD</v>
      </c>
      <c r="D7" s="13"/>
      <c r="E7" s="17">
        <v>0.2034</v>
      </c>
      <c r="F7" s="17">
        <v>0.22120000000000001</v>
      </c>
      <c r="G7" s="17">
        <v>0.25</v>
      </c>
      <c r="H7" s="13"/>
      <c r="I7" s="410" t="s">
        <v>67</v>
      </c>
      <c r="J7" s="411"/>
      <c r="K7" s="411"/>
      <c r="L7" s="411"/>
      <c r="M7" s="411"/>
      <c r="N7" s="411"/>
      <c r="O7" s="411"/>
      <c r="P7" s="411"/>
      <c r="Q7" s="411"/>
      <c r="R7" s="412"/>
      <c r="S7" s="13"/>
    </row>
    <row r="8" spans="1:19" x14ac:dyDescent="0.2">
      <c r="A8" s="13" t="s">
        <v>68</v>
      </c>
      <c r="B8" s="16" t="s">
        <v>59</v>
      </c>
      <c r="C8" s="13" t="str">
        <f t="shared" si="0"/>
        <v>Construção de Praças Urbanas, Rodovias, Ferrovias e recapeamento e pavimentação de vias urbanas-AC</v>
      </c>
      <c r="D8" s="13"/>
      <c r="E8" s="17">
        <v>3.7999999999999999E-2</v>
      </c>
      <c r="F8" s="17">
        <v>4.0099999999999997E-2</v>
      </c>
      <c r="G8" s="17">
        <v>4.6699999999999998E-2</v>
      </c>
      <c r="H8" s="13"/>
      <c r="I8" s="419" t="s">
        <v>139</v>
      </c>
      <c r="J8" s="419"/>
      <c r="K8" s="419"/>
      <c r="L8" s="419"/>
      <c r="M8" s="419"/>
      <c r="N8" s="419"/>
      <c r="O8" s="419"/>
      <c r="P8" s="419"/>
      <c r="Q8" s="419"/>
      <c r="R8" s="419"/>
      <c r="S8" s="13"/>
    </row>
    <row r="9" spans="1:19" x14ac:dyDescent="0.2">
      <c r="A9" s="13" t="s">
        <v>68</v>
      </c>
      <c r="B9" s="16" t="s">
        <v>60</v>
      </c>
      <c r="C9" s="13" t="str">
        <f t="shared" si="0"/>
        <v>Construção de Praças Urbanas, Rodovias, Ferrovias e recapeamento e pavimentação de vias urbanas-SG</v>
      </c>
      <c r="D9" s="13"/>
      <c r="E9" s="17">
        <v>3.2000000000000002E-3</v>
      </c>
      <c r="F9" s="17">
        <v>4.0000000000000001E-3</v>
      </c>
      <c r="G9" s="17">
        <v>7.4000000000000003E-3</v>
      </c>
      <c r="H9" s="13"/>
      <c r="I9" s="19"/>
      <c r="J9" s="19"/>
      <c r="K9" s="19"/>
      <c r="L9" s="19"/>
      <c r="M9" s="19"/>
      <c r="N9" s="19"/>
      <c r="O9" s="19"/>
      <c r="P9" s="19"/>
      <c r="Q9" s="19"/>
      <c r="R9" s="19"/>
      <c r="S9" s="13"/>
    </row>
    <row r="10" spans="1:19" x14ac:dyDescent="0.2">
      <c r="A10" s="13" t="s">
        <v>68</v>
      </c>
      <c r="B10" s="16" t="s">
        <v>61</v>
      </c>
      <c r="C10" s="13" t="str">
        <f t="shared" si="0"/>
        <v>Construção de Praças Urbanas, Rodovias, Ferrovias e recapeamento e pavimentação de vias urbanas-R</v>
      </c>
      <c r="D10" s="13"/>
      <c r="E10" s="17">
        <v>5.0000000000000001E-3</v>
      </c>
      <c r="F10" s="17">
        <v>5.6000000000000008E-3</v>
      </c>
      <c r="G10" s="17">
        <v>9.7000000000000003E-3</v>
      </c>
      <c r="H10" s="13"/>
      <c r="I10" s="410" t="s">
        <v>69</v>
      </c>
      <c r="J10" s="411"/>
      <c r="K10" s="411"/>
      <c r="L10" s="411"/>
      <c r="M10" s="411"/>
      <c r="N10" s="411"/>
      <c r="O10" s="411"/>
      <c r="P10" s="411"/>
      <c r="Q10" s="410" t="s">
        <v>70</v>
      </c>
      <c r="R10" s="412"/>
      <c r="S10" s="13"/>
    </row>
    <row r="11" spans="1:19" x14ac:dyDescent="0.2">
      <c r="A11" s="13" t="s">
        <v>68</v>
      </c>
      <c r="B11" s="16" t="s">
        <v>64</v>
      </c>
      <c r="C11" s="13" t="str">
        <f t="shared" si="0"/>
        <v>Construção de Praças Urbanas, Rodovias, Ferrovias e recapeamento e pavimentação de vias urbanas-DF</v>
      </c>
      <c r="D11" s="13"/>
      <c r="E11" s="17">
        <v>1.0200000000000001E-2</v>
      </c>
      <c r="F11" s="17">
        <v>1.11E-2</v>
      </c>
      <c r="G11" s="17">
        <v>1.21E-2</v>
      </c>
      <c r="H11" s="13"/>
      <c r="I11" s="413" t="s">
        <v>68</v>
      </c>
      <c r="J11" s="414"/>
      <c r="K11" s="414"/>
      <c r="L11" s="414"/>
      <c r="M11" s="414"/>
      <c r="N11" s="414"/>
      <c r="O11" s="414"/>
      <c r="P11" s="415"/>
      <c r="Q11" s="416" t="s">
        <v>126</v>
      </c>
      <c r="R11" s="417"/>
      <c r="S11" s="13"/>
    </row>
    <row r="12" spans="1:19" x14ac:dyDescent="0.2">
      <c r="A12" s="13" t="s">
        <v>68</v>
      </c>
      <c r="B12" s="16" t="s">
        <v>65</v>
      </c>
      <c r="C12" s="13" t="str">
        <f t="shared" si="0"/>
        <v>Construção de Praças Urbanas, Rodovias, Ferrovias e recapeamento e pavimentação de vias urbanas-L</v>
      </c>
      <c r="D12" s="13"/>
      <c r="E12" s="17">
        <v>6.6400000000000001E-2</v>
      </c>
      <c r="F12" s="17">
        <v>7.2999999999999995E-2</v>
      </c>
      <c r="G12" s="17">
        <v>8.6899999999999991E-2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1:19" ht="24" customHeight="1" x14ac:dyDescent="0.2">
      <c r="A13" s="13" t="s">
        <v>68</v>
      </c>
      <c r="B13" s="20" t="s">
        <v>66</v>
      </c>
      <c r="C13" s="13" t="str">
        <f t="shared" si="0"/>
        <v>Construção de Praças Urbanas, Rodovias, Ferrovias e recapeamento e pavimentação de vias urbanas-BDI PAD</v>
      </c>
      <c r="D13" s="13"/>
      <c r="E13" s="17">
        <v>0.19600000000000001</v>
      </c>
      <c r="F13" s="17">
        <v>0.2097</v>
      </c>
      <c r="G13" s="17">
        <v>0.24230000000000002</v>
      </c>
      <c r="H13" s="13"/>
      <c r="I13" s="418" t="s">
        <v>71</v>
      </c>
      <c r="J13" s="418"/>
      <c r="K13" s="418"/>
      <c r="L13" s="418"/>
      <c r="M13" s="418"/>
      <c r="N13" s="418"/>
      <c r="O13" s="418"/>
      <c r="P13" s="418"/>
      <c r="Q13" s="406">
        <v>1</v>
      </c>
      <c r="R13" s="406"/>
      <c r="S13" s="13"/>
    </row>
    <row r="14" spans="1:19" x14ac:dyDescent="0.2">
      <c r="A14" s="13" t="s">
        <v>72</v>
      </c>
      <c r="B14" s="16" t="s">
        <v>59</v>
      </c>
      <c r="C14" s="13" t="str">
        <f t="shared" si="0"/>
        <v>Construção de Redes de Abastecimento de Água, Coleta de Esgoto-AC</v>
      </c>
      <c r="D14" s="13"/>
      <c r="E14" s="17">
        <v>3.4300000000000004E-2</v>
      </c>
      <c r="F14" s="17">
        <v>4.9299999999999997E-2</v>
      </c>
      <c r="G14" s="17">
        <v>6.7099999999999993E-2</v>
      </c>
      <c r="H14" s="13"/>
      <c r="I14" s="405" t="s">
        <v>73</v>
      </c>
      <c r="J14" s="405"/>
      <c r="K14" s="405"/>
      <c r="L14" s="405"/>
      <c r="M14" s="405"/>
      <c r="N14" s="405"/>
      <c r="O14" s="405"/>
      <c r="P14" s="405"/>
      <c r="Q14" s="406">
        <v>0.02</v>
      </c>
      <c r="R14" s="406"/>
      <c r="S14" s="13"/>
    </row>
    <row r="15" spans="1:19" x14ac:dyDescent="0.2">
      <c r="A15" s="13" t="str">
        <f>A14</f>
        <v>Construção de Redes de Abastecimento de Água, Coleta de Esgoto</v>
      </c>
      <c r="B15" s="16" t="s">
        <v>60</v>
      </c>
      <c r="C15" s="13" t="str">
        <f t="shared" si="0"/>
        <v>Construção de Redes de Abastecimento de Água, Coleta de Esgoto-SG</v>
      </c>
      <c r="D15" s="13"/>
      <c r="E15" s="17">
        <v>2.8000000000000004E-3</v>
      </c>
      <c r="F15" s="17">
        <v>4.8999999999999998E-3</v>
      </c>
      <c r="G15" s="17">
        <v>7.4999999999999997E-3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1:19" x14ac:dyDescent="0.2">
      <c r="A16" s="13"/>
      <c r="B16" s="16"/>
      <c r="C16" s="13"/>
      <c r="D16" s="13"/>
      <c r="E16" s="17"/>
      <c r="F16" s="17"/>
      <c r="G16" s="17"/>
      <c r="H16" s="13"/>
      <c r="I16" s="407" t="s">
        <v>74</v>
      </c>
      <c r="J16" s="407"/>
      <c r="K16" s="407"/>
      <c r="L16" s="407"/>
      <c r="M16" s="407" t="s">
        <v>75</v>
      </c>
      <c r="N16" s="408" t="s">
        <v>76</v>
      </c>
      <c r="O16" s="408" t="s">
        <v>77</v>
      </c>
      <c r="P16" s="407" t="s">
        <v>78</v>
      </c>
      <c r="Q16" s="407" t="s">
        <v>79</v>
      </c>
      <c r="R16" s="409" t="s">
        <v>80</v>
      </c>
      <c r="S16" s="13"/>
    </row>
    <row r="17" spans="1:19" x14ac:dyDescent="0.2">
      <c r="A17" s="13" t="str">
        <f>A15</f>
        <v>Construção de Redes de Abastecimento de Água, Coleta de Esgoto</v>
      </c>
      <c r="B17" s="16" t="s">
        <v>61</v>
      </c>
      <c r="C17" s="13" t="str">
        <f t="shared" si="0"/>
        <v>Construção de Redes de Abastecimento de Água, Coleta de Esgoto-R</v>
      </c>
      <c r="D17" s="13"/>
      <c r="E17" s="17">
        <v>0.01</v>
      </c>
      <c r="F17" s="17">
        <v>1.3899999999999999E-2</v>
      </c>
      <c r="G17" s="17">
        <v>1.7399999999999999E-2</v>
      </c>
      <c r="H17" s="13"/>
      <c r="I17" s="407"/>
      <c r="J17" s="407"/>
      <c r="K17" s="407"/>
      <c r="L17" s="407"/>
      <c r="M17" s="407"/>
      <c r="N17" s="408"/>
      <c r="O17" s="408"/>
      <c r="P17" s="407"/>
      <c r="Q17" s="407"/>
      <c r="R17" s="409"/>
      <c r="S17" s="13"/>
    </row>
    <row r="18" spans="1:19" ht="15" x14ac:dyDescent="0.2">
      <c r="A18" s="13" t="str">
        <f>A17</f>
        <v>Construção de Redes de Abastecimento de Água, Coleta de Esgoto</v>
      </c>
      <c r="B18" s="16" t="s">
        <v>64</v>
      </c>
      <c r="C18" s="13" t="str">
        <f t="shared" si="0"/>
        <v>Construção de Redes de Abastecimento de Água, Coleta de Esgoto-DF</v>
      </c>
      <c r="D18" s="13"/>
      <c r="E18" s="17">
        <v>9.3999999999999986E-3</v>
      </c>
      <c r="F18" s="17">
        <v>9.8999999999999991E-3</v>
      </c>
      <c r="G18" s="17">
        <v>1.1699999999999999E-2</v>
      </c>
      <c r="H18" s="13"/>
      <c r="I18" s="401" t="str">
        <f>IF($I$11=$A$59,"Encargos Sociais incidentes sobre a mão de obra","Administração Central")</f>
        <v>Administração Central</v>
      </c>
      <c r="J18" s="401"/>
      <c r="K18" s="401"/>
      <c r="L18" s="401"/>
      <c r="M18" s="21" t="str">
        <f>IF($I$11=$A$59,"K1","AC")</f>
        <v>AC</v>
      </c>
      <c r="N18" s="22">
        <v>4.6699999999999998E-2</v>
      </c>
      <c r="O18" s="23" t="s">
        <v>81</v>
      </c>
      <c r="P18" s="24">
        <f>VLOOKUP(CONCATENATE(I$11,"-",M18),$C$2:$G$49,3,FALSE)</f>
        <v>3.7999999999999999E-2</v>
      </c>
      <c r="Q18" s="24">
        <f>VLOOKUP(CONCATENATE(I$11,"-",M18),$C$2:$G$49,4,FALSE)</f>
        <v>4.0099999999999997E-2</v>
      </c>
      <c r="R18" s="24">
        <f>VLOOKUP(CONCATENATE(I$11,"-",M18),$C$2:$G$49,5,FALSE)</f>
        <v>4.6699999999999998E-2</v>
      </c>
      <c r="S18" s="13"/>
    </row>
    <row r="19" spans="1:19" ht="15" x14ac:dyDescent="0.2">
      <c r="A19" s="13" t="str">
        <f>A18</f>
        <v>Construção de Redes de Abastecimento de Água, Coleta de Esgoto</v>
      </c>
      <c r="B19" s="16" t="s">
        <v>65</v>
      </c>
      <c r="C19" s="13" t="str">
        <f t="shared" si="0"/>
        <v>Construção de Redes de Abastecimento de Água, Coleta de Esgoto-L</v>
      </c>
      <c r="D19" s="13"/>
      <c r="E19" s="17">
        <v>6.7400000000000002E-2</v>
      </c>
      <c r="F19" s="17">
        <v>8.0399999999999985E-2</v>
      </c>
      <c r="G19" s="17">
        <v>9.4E-2</v>
      </c>
      <c r="H19" s="13"/>
      <c r="I19" s="401" t="str">
        <f>IF($I$11=$A$59,"Administração Central da empresa ou consultoria - overhead","Seguro e Garantia")</f>
        <v>Seguro e Garantia</v>
      </c>
      <c r="J19" s="401"/>
      <c r="K19" s="401"/>
      <c r="L19" s="401"/>
      <c r="M19" s="21" t="str">
        <f>IF($I$11=$A$59,"K2","SG")</f>
        <v>SG</v>
      </c>
      <c r="N19" s="22">
        <v>4.0000000000000001E-3</v>
      </c>
      <c r="O19" s="23" t="s">
        <v>81</v>
      </c>
      <c r="P19" s="24">
        <f>VLOOKUP(CONCATENATE(I$11,"-",M19),$C$2:$G$49,3,FALSE)</f>
        <v>3.2000000000000002E-3</v>
      </c>
      <c r="Q19" s="24">
        <f>VLOOKUP(CONCATENATE(I$11,"-",M19),$C$2:$G$49,4,FALSE)</f>
        <v>4.0000000000000001E-3</v>
      </c>
      <c r="R19" s="24">
        <f>VLOOKUP(CONCATENATE(I$11,"-",M19),$C$2:$G$49,5,FALSE)</f>
        <v>7.4000000000000003E-3</v>
      </c>
      <c r="S19" s="13"/>
    </row>
    <row r="20" spans="1:19" ht="15" x14ac:dyDescent="0.2">
      <c r="A20" s="13" t="str">
        <f>A19</f>
        <v>Construção de Redes de Abastecimento de Água, Coleta de Esgoto</v>
      </c>
      <c r="B20" s="20" t="s">
        <v>66</v>
      </c>
      <c r="C20" s="13" t="str">
        <f t="shared" si="0"/>
        <v>Construção de Redes de Abastecimento de Água, Coleta de Esgoto-BDI PAD</v>
      </c>
      <c r="D20" s="13"/>
      <c r="E20" s="17">
        <v>0.20760000000000001</v>
      </c>
      <c r="F20" s="17">
        <v>0.24179999999999999</v>
      </c>
      <c r="G20" s="17">
        <v>0.26440000000000002</v>
      </c>
      <c r="H20" s="13"/>
      <c r="I20" s="401" t="str">
        <f>IF($I$11=$A$59,"","Risco")</f>
        <v>Risco</v>
      </c>
      <c r="J20" s="401"/>
      <c r="K20" s="401"/>
      <c r="L20" s="401"/>
      <c r="M20" s="21" t="str">
        <f>IF($I$11=$A$59,"","R")</f>
        <v>R</v>
      </c>
      <c r="N20" s="22">
        <v>9.7000000000000003E-3</v>
      </c>
      <c r="O20" s="23" t="s">
        <v>81</v>
      </c>
      <c r="P20" s="24">
        <f>VLOOKUP(CONCATENATE(I$11,"-",M20),$C$2:$G$49,3,FALSE)</f>
        <v>5.0000000000000001E-3</v>
      </c>
      <c r="Q20" s="24">
        <f>VLOOKUP(CONCATENATE(I$11,"-",M20),$C$2:$G$49,4,FALSE)</f>
        <v>5.6000000000000008E-3</v>
      </c>
      <c r="R20" s="24">
        <f>VLOOKUP(CONCATENATE(I$11,"-",M20),$C$2:$G$49,5,FALSE)</f>
        <v>9.7000000000000003E-3</v>
      </c>
      <c r="S20" s="13"/>
    </row>
    <row r="21" spans="1:19" ht="15" x14ac:dyDescent="0.2">
      <c r="A21" s="13" t="s">
        <v>82</v>
      </c>
      <c r="B21" s="16" t="s">
        <v>59</v>
      </c>
      <c r="C21" s="13" t="str">
        <f t="shared" si="0"/>
        <v>Construção e Manutenção de Estações e Redes de Distribuição de Energia Elétrica-AC</v>
      </c>
      <c r="D21" s="13"/>
      <c r="E21" s="17">
        <v>5.2900000000000003E-2</v>
      </c>
      <c r="F21" s="17">
        <v>5.9200000000000003E-2</v>
      </c>
      <c r="G21" s="17">
        <v>7.9299999999999995E-2</v>
      </c>
      <c r="H21" s="13"/>
      <c r="I21" s="401" t="str">
        <f>IF($I$11=$A$59,"","Despesas Financeiras")</f>
        <v>Despesas Financeiras</v>
      </c>
      <c r="J21" s="401"/>
      <c r="K21" s="401"/>
      <c r="L21" s="401"/>
      <c r="M21" s="21" t="str">
        <f>IF($I$11=$A$59,"","DF")</f>
        <v>DF</v>
      </c>
      <c r="N21" s="22">
        <v>1.21E-2</v>
      </c>
      <c r="O21" s="23" t="s">
        <v>81</v>
      </c>
      <c r="P21" s="24">
        <f>VLOOKUP(CONCATENATE(I$11,"-",M21),$C$2:$G$49,3,FALSE)</f>
        <v>1.0200000000000001E-2</v>
      </c>
      <c r="Q21" s="24">
        <f>VLOOKUP(CONCATENATE(I$11,"-",M21),$C$2:$G$49,4,FALSE)</f>
        <v>1.11E-2</v>
      </c>
      <c r="R21" s="24">
        <f>VLOOKUP(CONCATENATE(I$11,"-",M21),$C$2:$G$49,5,FALSE)</f>
        <v>1.21E-2</v>
      </c>
      <c r="S21" s="13"/>
    </row>
    <row r="22" spans="1:19" ht="15" x14ac:dyDescent="0.2">
      <c r="A22" s="13" t="str">
        <f>A21</f>
        <v>Construção e Manutenção de Estações e Redes de Distribuição de Energia Elétrica</v>
      </c>
      <c r="B22" s="16" t="s">
        <v>60</v>
      </c>
      <c r="C22" s="13" t="str">
        <f t="shared" si="0"/>
        <v>Construção e Manutenção de Estações e Redes de Distribuição de Energia Elétrica-SG</v>
      </c>
      <c r="D22" s="13"/>
      <c r="E22" s="17">
        <v>2.5000000000000001E-3</v>
      </c>
      <c r="F22" s="17">
        <v>5.1000000000000004E-3</v>
      </c>
      <c r="G22" s="17">
        <v>5.6000000000000008E-3</v>
      </c>
      <c r="H22" s="13"/>
      <c r="I22" s="401" t="str">
        <f>IF($I$11=$A$59,"Margem bruta da empresa de consultoria","Lucro")</f>
        <v>Lucro</v>
      </c>
      <c r="J22" s="401"/>
      <c r="K22" s="401"/>
      <c r="L22" s="401"/>
      <c r="M22" s="21" t="str">
        <f>IF($I$11=$A$59,"K3","L")</f>
        <v>L</v>
      </c>
      <c r="N22" s="22">
        <v>8.6900000000000005E-2</v>
      </c>
      <c r="O22" s="23" t="s">
        <v>81</v>
      </c>
      <c r="P22" s="24">
        <f>VLOOKUP(CONCATENATE(I$11,"-",M22),$C$2:$G$49,3,FALSE)</f>
        <v>6.6400000000000001E-2</v>
      </c>
      <c r="Q22" s="24">
        <f>VLOOKUP(CONCATENATE(I$11,"-",M22),$C$2:$G$49,4,FALSE)</f>
        <v>7.2999999999999995E-2</v>
      </c>
      <c r="R22" s="24">
        <f>VLOOKUP(CONCATENATE(I$11,"-",M22),$C$2:$G$49,5,FALSE)</f>
        <v>8.6899999999999991E-2</v>
      </c>
      <c r="S22" s="13"/>
    </row>
    <row r="23" spans="1:19" ht="15" x14ac:dyDescent="0.2">
      <c r="A23" s="13" t="str">
        <f>A22</f>
        <v>Construção e Manutenção de Estações e Redes de Distribuição de Energia Elétrica</v>
      </c>
      <c r="B23" s="16" t="s">
        <v>61</v>
      </c>
      <c r="C23" s="13" t="str">
        <f t="shared" si="0"/>
        <v>Construção e Manutenção de Estações e Redes de Distribuição de Energia Elétrica-R</v>
      </c>
      <c r="D23" s="13"/>
      <c r="E23" s="17">
        <v>0.01</v>
      </c>
      <c r="F23" s="17">
        <v>1.4800000000000001E-2</v>
      </c>
      <c r="G23" s="17">
        <v>1.9699999999999999E-2</v>
      </c>
      <c r="H23" s="13"/>
      <c r="I23" s="402" t="s">
        <v>83</v>
      </c>
      <c r="J23" s="402"/>
      <c r="K23" s="402"/>
      <c r="L23" s="402"/>
      <c r="M23" s="21" t="s">
        <v>84</v>
      </c>
      <c r="N23" s="22">
        <v>3.6499999999999998E-2</v>
      </c>
      <c r="O23" s="23" t="s">
        <v>81</v>
      </c>
      <c r="P23" s="24">
        <v>3.6499999999999998E-2</v>
      </c>
      <c r="Q23" s="24">
        <v>3.6499999999999998E-2</v>
      </c>
      <c r="R23" s="24">
        <v>3.6499999999999998E-2</v>
      </c>
      <c r="S23" s="13"/>
    </row>
    <row r="24" spans="1:19" ht="31.5" customHeight="1" x14ac:dyDescent="0.2">
      <c r="A24" s="13" t="str">
        <f>A23</f>
        <v>Construção e Manutenção de Estações e Redes de Distribuição de Energia Elétrica</v>
      </c>
      <c r="B24" s="16" t="s">
        <v>64</v>
      </c>
      <c r="C24" s="13" t="str">
        <f t="shared" si="0"/>
        <v>Construção e Manutenção de Estações e Redes de Distribuição de Energia Elétrica-DF</v>
      </c>
      <c r="D24" s="13"/>
      <c r="E24" s="17">
        <v>1.01E-2</v>
      </c>
      <c r="F24" s="17">
        <v>1.0700000000000001E-2</v>
      </c>
      <c r="G24" s="17">
        <v>1.11E-2</v>
      </c>
      <c r="H24" s="13"/>
      <c r="I24" s="401" t="s">
        <v>85</v>
      </c>
      <c r="J24" s="401"/>
      <c r="K24" s="401"/>
      <c r="L24" s="401"/>
      <c r="M24" s="21" t="s">
        <v>86</v>
      </c>
      <c r="N24" s="24">
        <f>IF($I$11&lt;&gt;$A$58,Q14*Q13,0)</f>
        <v>0.02</v>
      </c>
      <c r="O24" s="23" t="s">
        <v>81</v>
      </c>
      <c r="P24" s="24">
        <v>0</v>
      </c>
      <c r="Q24" s="24">
        <v>2.5000000000000001E-2</v>
      </c>
      <c r="R24" s="24">
        <v>0.05</v>
      </c>
      <c r="S24" s="13"/>
    </row>
    <row r="25" spans="1:19" ht="26.25" customHeight="1" x14ac:dyDescent="0.2">
      <c r="A25" s="13" t="str">
        <f>A24</f>
        <v>Construção e Manutenção de Estações e Redes de Distribuição de Energia Elétrica</v>
      </c>
      <c r="B25" s="16" t="s">
        <v>65</v>
      </c>
      <c r="C25" s="13" t="str">
        <f t="shared" si="0"/>
        <v>Construção e Manutenção de Estações e Redes de Distribuição de Energia Elétrica-L</v>
      </c>
      <c r="D25" s="13"/>
      <c r="E25" s="17">
        <v>0.08</v>
      </c>
      <c r="F25" s="17">
        <v>8.3100000000000007E-2</v>
      </c>
      <c r="G25" s="17">
        <v>9.5100000000000004E-2</v>
      </c>
      <c r="H25" s="13"/>
      <c r="I25" s="401" t="s">
        <v>87</v>
      </c>
      <c r="J25" s="401"/>
      <c r="K25" s="401"/>
      <c r="L25" s="401"/>
      <c r="M25" s="21" t="s">
        <v>88</v>
      </c>
      <c r="N25" s="24">
        <v>0</v>
      </c>
      <c r="O25" s="23" t="str">
        <f>IF(AND(N25&gt;=P25, N25&lt;=R25), "OK", "Não OK")</f>
        <v>OK</v>
      </c>
      <c r="P25" s="25">
        <v>0</v>
      </c>
      <c r="Q25" s="25">
        <v>4.4999999999999998E-2</v>
      </c>
      <c r="R25" s="25">
        <v>4.4999999999999998E-2</v>
      </c>
      <c r="S25" s="13"/>
    </row>
    <row r="26" spans="1:19" ht="30" x14ac:dyDescent="0.2">
      <c r="A26" s="13" t="str">
        <f>A25</f>
        <v>Construção e Manutenção de Estações e Redes de Distribuição de Energia Elétrica</v>
      </c>
      <c r="B26" s="20" t="s">
        <v>66</v>
      </c>
      <c r="C26" s="13" t="str">
        <f t="shared" si="0"/>
        <v>Construção e Manutenção de Estações e Redes de Distribuição de Energia Elétrica-BDI PAD</v>
      </c>
      <c r="D26" s="13"/>
      <c r="E26" s="17">
        <v>0.24</v>
      </c>
      <c r="F26" s="17">
        <v>0.25840000000000002</v>
      </c>
      <c r="G26" s="17">
        <v>0.27860000000000001</v>
      </c>
      <c r="H26" s="13"/>
      <c r="I26" s="401" t="s">
        <v>89</v>
      </c>
      <c r="J26" s="401"/>
      <c r="K26" s="401"/>
      <c r="L26" s="401"/>
      <c r="M26" s="26" t="s">
        <v>66</v>
      </c>
      <c r="N26" s="24">
        <f>IF($I$11=$A$58,0,ROUND((((1+N18+N19+N20)*(1+N21)*(1+N22)/(1-(N23+N24)))-1),4))</f>
        <v>0.23630000000000001</v>
      </c>
      <c r="O26" s="27" t="str">
        <f>IF(OR($I$11=$A$59,$I$11=$A$58,AND(N26&gt;=P26, N26&lt;=R26)), "OK", "FORA DO INTERVALO")</f>
        <v>OK</v>
      </c>
      <c r="P26" s="24">
        <f>IF($I$11=$A$58,0,VLOOKUP(CONCATENATE($I$11,"-",$M26),$C$2:$G$49,3,FALSE))</f>
        <v>0.19600000000000001</v>
      </c>
      <c r="Q26" s="24">
        <f>IF($I$11=$A$58,0,VLOOKUP(CONCATENATE($I$11,"-",$M26),$C$2:$G$49,4,FALSE))</f>
        <v>0.2097</v>
      </c>
      <c r="R26" s="24">
        <f>IF($I$11=$A$58,0,VLOOKUP(CONCATENATE($I$11,"-",$M26),$C$2:$G$49,5,FALSE))</f>
        <v>0.24230000000000002</v>
      </c>
      <c r="S26" s="13"/>
    </row>
    <row r="27" spans="1:19" ht="28.5" x14ac:dyDescent="0.2">
      <c r="A27" s="13" t="s">
        <v>90</v>
      </c>
      <c r="B27" s="16" t="s">
        <v>59</v>
      </c>
      <c r="C27" s="13" t="str">
        <f t="shared" si="0"/>
        <v>Obras Portuárias, Marítimas e Fluviais-AC</v>
      </c>
      <c r="D27" s="13"/>
      <c r="E27" s="17">
        <v>0.04</v>
      </c>
      <c r="F27" s="17">
        <v>5.5199999999999999E-2</v>
      </c>
      <c r="G27" s="17">
        <v>7.85E-2</v>
      </c>
      <c r="H27" s="13"/>
      <c r="I27" s="403" t="s">
        <v>91</v>
      </c>
      <c r="J27" s="403"/>
      <c r="K27" s="403"/>
      <c r="L27" s="403"/>
      <c r="M27" s="28" t="s">
        <v>92</v>
      </c>
      <c r="N27" s="29">
        <f>IF($I$11=$A$58,0,ROUND((((1+N18+N19+N20)*(1+N21)*(1+N22)/(1-(N23+N24+N25)))-1),4))</f>
        <v>0.23630000000000001</v>
      </c>
      <c r="O27" s="30" t="str">
        <f>IF(Q11&lt;&gt;"Sim","",O26)</f>
        <v/>
      </c>
      <c r="P27" s="404"/>
      <c r="Q27" s="404"/>
      <c r="R27" s="404"/>
      <c r="S27" s="13"/>
    </row>
    <row r="28" spans="1:19" x14ac:dyDescent="0.2">
      <c r="A28" s="13" t="str">
        <f>A27</f>
        <v>Obras Portuárias, Marítimas e Fluviais</v>
      </c>
      <c r="B28" s="16" t="s">
        <v>60</v>
      </c>
      <c r="C28" s="13" t="str">
        <f t="shared" si="0"/>
        <v>Obras Portuárias, Marítimas e Fluviais-SG</v>
      </c>
      <c r="D28" s="13"/>
      <c r="E28" s="17">
        <v>8.1000000000000013E-3</v>
      </c>
      <c r="F28" s="17">
        <v>1.2199999999999999E-2</v>
      </c>
      <c r="G28" s="17">
        <v>1.9900000000000001E-2</v>
      </c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</row>
    <row r="29" spans="1:19" ht="23.25" x14ac:dyDescent="0.2">
      <c r="A29" s="13" t="str">
        <f>A28</f>
        <v>Obras Portuárias, Marítimas e Fluviais</v>
      </c>
      <c r="B29" s="16" t="s">
        <v>61</v>
      </c>
      <c r="C29" s="13" t="str">
        <f t="shared" si="0"/>
        <v>Obras Portuárias, Marítimas e Fluviais-R</v>
      </c>
      <c r="D29" s="13"/>
      <c r="E29" s="17">
        <v>1.46E-2</v>
      </c>
      <c r="F29" s="17">
        <v>2.3199999999999998E-2</v>
      </c>
      <c r="G29" s="17">
        <v>3.1600000000000003E-2</v>
      </c>
      <c r="H29" s="13"/>
      <c r="I29" s="31" t="str">
        <f>IF(V29,"X","")</f>
        <v/>
      </c>
      <c r="J29" s="400" t="s">
        <v>93</v>
      </c>
      <c r="K29" s="400"/>
      <c r="L29" s="400"/>
      <c r="M29" s="400"/>
      <c r="N29" s="400"/>
      <c r="O29" s="400"/>
      <c r="P29" s="400"/>
      <c r="Q29" s="400"/>
      <c r="R29" s="400"/>
      <c r="S29" s="13"/>
    </row>
    <row r="30" spans="1:19" x14ac:dyDescent="0.2">
      <c r="A30" s="13"/>
      <c r="B30" s="16"/>
      <c r="C30" s="13"/>
      <c r="D30" s="13"/>
      <c r="E30" s="17"/>
      <c r="F30" s="17"/>
      <c r="G30" s="17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</row>
    <row r="31" spans="1:19" x14ac:dyDescent="0.2">
      <c r="A31" s="13"/>
      <c r="B31" s="16"/>
      <c r="C31" s="13"/>
      <c r="D31" s="13"/>
      <c r="E31" s="17"/>
      <c r="F31" s="17"/>
      <c r="G31" s="17"/>
      <c r="H31" s="13"/>
      <c r="I31" s="387" t="s">
        <v>94</v>
      </c>
      <c r="J31" s="387"/>
      <c r="K31" s="387"/>
      <c r="L31" s="387"/>
      <c r="M31" s="387"/>
      <c r="N31" s="387"/>
      <c r="O31" s="387"/>
      <c r="P31" s="387"/>
      <c r="Q31" s="387"/>
      <c r="R31" s="387"/>
      <c r="S31" s="13"/>
    </row>
    <row r="32" spans="1:19" ht="15.75" x14ac:dyDescent="0.25">
      <c r="A32" s="13" t="str">
        <f>A29</f>
        <v>Obras Portuárias, Marítimas e Fluviais</v>
      </c>
      <c r="B32" s="16" t="s">
        <v>64</v>
      </c>
      <c r="C32" s="13" t="str">
        <f t="shared" si="0"/>
        <v>Obras Portuárias, Marítimas e Fluviais-DF</v>
      </c>
      <c r="D32" s="13"/>
      <c r="E32" s="17">
        <v>9.3999999999999986E-3</v>
      </c>
      <c r="F32" s="17">
        <v>1.0200000000000001E-2</v>
      </c>
      <c r="G32" s="17">
        <v>1.3300000000000001E-2</v>
      </c>
      <c r="H32" s="13"/>
      <c r="I32" s="32"/>
      <c r="J32" s="32"/>
      <c r="K32" s="32"/>
      <c r="L32" s="388" t="str">
        <f>IF(Q11="Sim","BDI.DES =","BDI.PAD =")</f>
        <v>BDI.PAD =</v>
      </c>
      <c r="M32" s="389" t="str">
        <f>IF($I$11=$A$59,"(1+K1+K2)*(1+K3)","(1+AC + S + R + G)*(1 + DF)*(1+L)")</f>
        <v>(1+AC + S + R + G)*(1 + DF)*(1+L)</v>
      </c>
      <c r="N32" s="389"/>
      <c r="O32" s="389"/>
      <c r="P32" s="390" t="s">
        <v>95</v>
      </c>
      <c r="Q32" s="32"/>
      <c r="R32" s="32"/>
      <c r="S32" s="13"/>
    </row>
    <row r="33" spans="1:19" ht="15.75" x14ac:dyDescent="0.2">
      <c r="A33" s="13" t="str">
        <f>A32</f>
        <v>Obras Portuárias, Marítimas e Fluviais</v>
      </c>
      <c r="B33" s="16" t="s">
        <v>65</v>
      </c>
      <c r="C33" s="13" t="str">
        <f t="shared" si="0"/>
        <v>Obras Portuárias, Marítimas e Fluviais-L</v>
      </c>
      <c r="D33" s="13"/>
      <c r="E33" s="17">
        <v>7.1399999999999991E-2</v>
      </c>
      <c r="F33" s="17">
        <v>8.4000000000000005E-2</v>
      </c>
      <c r="G33" s="17">
        <v>0.1043</v>
      </c>
      <c r="H33" s="13"/>
      <c r="I33" s="32"/>
      <c r="J33" s="32"/>
      <c r="K33" s="32"/>
      <c r="L33" s="388"/>
      <c r="M33" s="392" t="str">
        <f>IF(Q11="Sim","(1-CP-ISS-CRPB)","(1-CP-ISS)")</f>
        <v>(1-CP-ISS)</v>
      </c>
      <c r="N33" s="392"/>
      <c r="O33" s="392"/>
      <c r="P33" s="391"/>
      <c r="Q33" s="32"/>
      <c r="R33" s="32"/>
      <c r="S33" s="13"/>
    </row>
    <row r="34" spans="1:19" x14ac:dyDescent="0.2">
      <c r="A34" s="13" t="str">
        <f>A33</f>
        <v>Obras Portuárias, Marítimas e Fluviais</v>
      </c>
      <c r="B34" s="20" t="s">
        <v>66</v>
      </c>
      <c r="C34" s="13" t="str">
        <f t="shared" si="0"/>
        <v>Obras Portuárias, Marítimas e Fluviais-BDI PAD</v>
      </c>
      <c r="D34" s="13"/>
      <c r="E34" s="17">
        <v>0.22800000000000001</v>
      </c>
      <c r="F34" s="17">
        <v>0.27479999999999999</v>
      </c>
      <c r="G34" s="17">
        <v>0.3095</v>
      </c>
      <c r="H34" s="1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13"/>
    </row>
    <row r="35" spans="1:19" ht="49.5" customHeight="1" x14ac:dyDescent="0.2">
      <c r="A35" s="13"/>
      <c r="B35" s="20"/>
      <c r="C35" s="13"/>
      <c r="D35" s="13"/>
      <c r="E35" s="17"/>
      <c r="F35" s="17"/>
      <c r="G35" s="17"/>
      <c r="H35" s="13"/>
      <c r="I35" s="393" t="str">
        <f>CONCATENATE("Declaro para os devidos fins que, conforme legislação tributária municipal, a base de cálculo para ",I11,", é de ",Q13*100,"%, com a respectiva alíquota de ",Q14*100,"%.")</f>
        <v>Declaro para os devidos fins que, conforme legislação tributária municipal, a base de cálculo para Construção de Praças Urbanas, Rodovias, Ferrovias e recapeamento e pavimentação de vias urbanas, é de 100%, com a respectiva alíquota de 2%.</v>
      </c>
      <c r="J35" s="393"/>
      <c r="K35" s="393"/>
      <c r="L35" s="393"/>
      <c r="M35" s="393"/>
      <c r="N35" s="393"/>
      <c r="O35" s="393"/>
      <c r="P35" s="393"/>
      <c r="Q35" s="393"/>
      <c r="R35" s="393"/>
      <c r="S35" s="13"/>
    </row>
    <row r="36" spans="1:19" x14ac:dyDescent="0.2">
      <c r="A36" s="13"/>
      <c r="B36" s="20"/>
      <c r="C36" s="13"/>
      <c r="D36" s="13"/>
      <c r="E36" s="17"/>
      <c r="F36" s="17"/>
      <c r="G36" s="17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spans="1:19" ht="47.25" customHeight="1" x14ac:dyDescent="0.2">
      <c r="A37" s="13"/>
      <c r="B37" s="20"/>
      <c r="C37" s="13"/>
      <c r="D37" s="13"/>
      <c r="E37" s="17"/>
      <c r="F37" s="17"/>
      <c r="G37" s="17"/>
      <c r="H37" s="13"/>
      <c r="I37" s="393" t="str">
        <f>CONCATENATE("Declaro para os devidos fins que o regime de Contribuição Previdenciária sobre a Receita Bruta adotado para elaboração do orçamento foi ",IF(Q11="Sim","COM","SEM")," Desoneração, e que esta é a alternativa mais adequada para a Administração Pública.")</f>
        <v>Declaro para os devidos fins que o regime de Contribuição Previdenciária sobre a Receita Bruta adotado para elaboração do orçamento foi SEM Desoneração, e que esta é a alternativa mais adequada para a Administração Pública.</v>
      </c>
      <c r="J37" s="393"/>
      <c r="K37" s="393"/>
      <c r="L37" s="393"/>
      <c r="M37" s="393"/>
      <c r="N37" s="393"/>
      <c r="O37" s="393"/>
      <c r="P37" s="393"/>
      <c r="Q37" s="393"/>
      <c r="R37" s="393"/>
      <c r="S37" s="13"/>
    </row>
    <row r="38" spans="1:19" x14ac:dyDescent="0.2">
      <c r="A38" s="13" t="s">
        <v>96</v>
      </c>
      <c r="B38" s="16" t="s">
        <v>59</v>
      </c>
      <c r="C38" s="13" t="str">
        <f t="shared" si="0"/>
        <v>Fornecimento de Materiais e Equipamentos (aquisição indireta - em conjunto com licitação de obras)-AC</v>
      </c>
      <c r="D38" s="13"/>
      <c r="E38" s="17">
        <v>1.4999999999999999E-2</v>
      </c>
      <c r="F38" s="17">
        <v>3.4500000000000003E-2</v>
      </c>
      <c r="G38" s="17">
        <v>4.4900000000000002E-2</v>
      </c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19" x14ac:dyDescent="0.2">
      <c r="A39" s="13" t="str">
        <f>A38</f>
        <v>Fornecimento de Materiais e Equipamentos (aquisição indireta - em conjunto com licitação de obras)</v>
      </c>
      <c r="B39" s="16" t="s">
        <v>60</v>
      </c>
      <c r="C39" s="13" t="str">
        <f t="shared" si="0"/>
        <v>Fornecimento de Materiais e Equipamentos (aquisição indireta - em conjunto com licitação de obras)-SG</v>
      </c>
      <c r="D39" s="13"/>
      <c r="E39" s="17">
        <v>3.0000000000000001E-3</v>
      </c>
      <c r="F39" s="17">
        <v>4.7999999999999996E-3</v>
      </c>
      <c r="G39" s="17">
        <v>8.199999999999999E-3</v>
      </c>
      <c r="H39" s="13"/>
      <c r="I39" s="13" t="s">
        <v>97</v>
      </c>
      <c r="J39" s="13"/>
      <c r="K39" s="13"/>
      <c r="L39" s="13"/>
      <c r="M39" s="13"/>
      <c r="N39" s="13"/>
      <c r="O39" s="13"/>
      <c r="P39" s="13"/>
      <c r="Q39" s="13"/>
      <c r="R39" s="13"/>
      <c r="S39" s="13"/>
    </row>
    <row r="40" spans="1:19" ht="52.5" customHeight="1" x14ac:dyDescent="0.2">
      <c r="A40" s="13" t="str">
        <f>A39</f>
        <v>Fornecimento de Materiais e Equipamentos (aquisição indireta - em conjunto com licitação de obras)</v>
      </c>
      <c r="B40" s="16" t="s">
        <v>61</v>
      </c>
      <c r="C40" s="13" t="str">
        <f t="shared" si="0"/>
        <v>Fornecimento de Materiais e Equipamentos (aquisição indireta - em conjunto com licitação de obras)-R</v>
      </c>
      <c r="D40" s="13"/>
      <c r="E40" s="17">
        <v>5.6000000000000008E-3</v>
      </c>
      <c r="F40" s="17">
        <v>8.5000000000000006E-3</v>
      </c>
      <c r="G40" s="17">
        <v>8.8999999999999999E-3</v>
      </c>
      <c r="H40" s="13"/>
      <c r="I40" s="394"/>
      <c r="J40" s="395"/>
      <c r="K40" s="395"/>
      <c r="L40" s="395"/>
      <c r="M40" s="395"/>
      <c r="N40" s="395"/>
      <c r="O40" s="395"/>
      <c r="P40" s="395"/>
      <c r="Q40" s="395"/>
      <c r="R40" s="396"/>
      <c r="S40" s="13"/>
    </row>
    <row r="41" spans="1:19" x14ac:dyDescent="0.2">
      <c r="A41" s="13" t="str">
        <f>A40</f>
        <v>Fornecimento de Materiais e Equipamentos (aquisição indireta - em conjunto com licitação de obras)</v>
      </c>
      <c r="B41" s="16" t="s">
        <v>64</v>
      </c>
      <c r="C41" s="13" t="str">
        <f t="shared" si="0"/>
        <v>Fornecimento de Materiais e Equipamentos (aquisição indireta - em conjunto com licitação de obras)-DF</v>
      </c>
      <c r="D41" s="13"/>
      <c r="E41" s="17">
        <v>8.5000000000000006E-3</v>
      </c>
      <c r="F41" s="17">
        <v>8.5000000000000006E-3</v>
      </c>
      <c r="G41" s="17">
        <v>1.11E-2</v>
      </c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1:19" x14ac:dyDescent="0.2">
      <c r="A42" s="13" t="str">
        <f>A41</f>
        <v>Fornecimento de Materiais e Equipamentos (aquisição indireta - em conjunto com licitação de obras)</v>
      </c>
      <c r="B42" s="16" t="s">
        <v>65</v>
      </c>
      <c r="C42" s="13" t="str">
        <f t="shared" si="0"/>
        <v>Fornecimento de Materiais e Equipamentos (aquisição indireta - em conjunto com licitação de obras)-L</v>
      </c>
      <c r="D42" s="13"/>
      <c r="E42" s="17">
        <v>3.5000000000000003E-2</v>
      </c>
      <c r="F42" s="17">
        <v>5.1100000000000007E-2</v>
      </c>
      <c r="G42" s="17">
        <v>6.2199999999999998E-2</v>
      </c>
      <c r="H42" s="13"/>
      <c r="I42" s="397" t="str">
        <f>[1]PO!K45</f>
        <v>PAPAGAIOS / MG</v>
      </c>
      <c r="J42" s="397"/>
      <c r="K42" s="397"/>
      <c r="L42" s="397"/>
      <c r="M42" s="13"/>
      <c r="N42" s="13"/>
      <c r="O42" s="398">
        <f ca="1">TODAY()</f>
        <v>45987</v>
      </c>
      <c r="P42" s="398"/>
      <c r="Q42" s="398"/>
      <c r="R42" s="398"/>
      <c r="S42" s="13"/>
    </row>
    <row r="43" spans="1:19" x14ac:dyDescent="0.2">
      <c r="A43" s="13" t="str">
        <f>A42</f>
        <v>Fornecimento de Materiais e Equipamentos (aquisição indireta - em conjunto com licitação de obras)</v>
      </c>
      <c r="B43" s="20" t="s">
        <v>66</v>
      </c>
      <c r="C43" s="13" t="str">
        <f t="shared" si="0"/>
        <v>Fornecimento de Materiais e Equipamentos (aquisição indireta - em conjunto com licitação de obras)-BDI PAD</v>
      </c>
      <c r="D43" s="13"/>
      <c r="E43" s="17">
        <v>0.111</v>
      </c>
      <c r="F43" s="17">
        <v>0.14019999999999999</v>
      </c>
      <c r="G43" s="17">
        <v>0.16800000000000001</v>
      </c>
      <c r="H43" s="13"/>
      <c r="I43" s="399" t="s">
        <v>98</v>
      </c>
      <c r="J43" s="399"/>
      <c r="K43" s="399"/>
      <c r="L43" s="399"/>
      <c r="M43" s="13"/>
      <c r="N43" s="34"/>
      <c r="O43" s="35" t="s">
        <v>99</v>
      </c>
      <c r="P43" s="36"/>
      <c r="Q43" s="36"/>
      <c r="R43" s="36"/>
      <c r="S43" s="13"/>
    </row>
    <row r="44" spans="1:19" x14ac:dyDescent="0.2">
      <c r="A44" s="13" t="s">
        <v>100</v>
      </c>
      <c r="B44" s="16" t="s">
        <v>101</v>
      </c>
      <c r="C44" s="13" t="str">
        <f t="shared" si="0"/>
        <v>Estudos e Projetos, Planos e Gerenciamento e outros correlatos-K1</v>
      </c>
      <c r="D44" s="13"/>
      <c r="E44" s="17" t="s">
        <v>81</v>
      </c>
      <c r="F44" s="17" t="s">
        <v>81</v>
      </c>
      <c r="G44" s="17" t="s">
        <v>81</v>
      </c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1:19" ht="15" x14ac:dyDescent="0.2">
      <c r="A45" s="13" t="str">
        <f>A44</f>
        <v>Estudos e Projetos, Planos e Gerenciamento e outros correlatos</v>
      </c>
      <c r="B45" s="16" t="s">
        <v>102</v>
      </c>
      <c r="C45" s="13" t="str">
        <f t="shared" si="0"/>
        <v>Estudos e Projetos, Planos e Gerenciamento e outros correlatos-K2</v>
      </c>
      <c r="D45" s="13"/>
      <c r="E45" s="17" t="s">
        <v>81</v>
      </c>
      <c r="F45" s="17">
        <v>0.2</v>
      </c>
      <c r="G45" s="17" t="s">
        <v>81</v>
      </c>
      <c r="H45" s="13"/>
      <c r="I45" s="386"/>
      <c r="J45" s="386"/>
      <c r="K45" s="386"/>
      <c r="L45" s="386"/>
      <c r="M45" s="37"/>
      <c r="N45" s="37"/>
      <c r="O45" s="386"/>
      <c r="P45" s="386"/>
      <c r="Q45" s="386"/>
      <c r="R45" s="386"/>
      <c r="S45" s="13"/>
    </row>
    <row r="46" spans="1:19" x14ac:dyDescent="0.2">
      <c r="A46" s="13" t="str">
        <f>A45</f>
        <v>Estudos e Projetos, Planos e Gerenciamento e outros correlatos</v>
      </c>
      <c r="B46" s="16" t="s">
        <v>103</v>
      </c>
      <c r="C46" s="13" t="str">
        <f t="shared" si="0"/>
        <v>Estudos e Projetos, Planos e Gerenciamento e outros correlatos-</v>
      </c>
      <c r="D46" s="13"/>
      <c r="E46" s="17" t="s">
        <v>81</v>
      </c>
      <c r="F46" s="17" t="s">
        <v>81</v>
      </c>
      <c r="G46" s="17" t="s">
        <v>81</v>
      </c>
      <c r="H46" s="13"/>
      <c r="I46" s="384" t="s">
        <v>104</v>
      </c>
      <c r="J46" s="384"/>
      <c r="K46" s="384"/>
      <c r="L46" s="384"/>
      <c r="M46" s="13"/>
      <c r="N46" s="13"/>
      <c r="O46" s="384" t="s">
        <v>105</v>
      </c>
      <c r="P46" s="384"/>
      <c r="Q46" s="384"/>
      <c r="R46" s="384"/>
      <c r="S46" s="13"/>
    </row>
    <row r="47" spans="1:19" ht="14.25" x14ac:dyDescent="0.2">
      <c r="A47" s="13" t="str">
        <f>A46</f>
        <v>Estudos e Projetos, Planos e Gerenciamento e outros correlatos</v>
      </c>
      <c r="B47" s="16" t="s">
        <v>103</v>
      </c>
      <c r="C47" s="13" t="str">
        <f t="shared" si="0"/>
        <v>Estudos e Projetos, Planos e Gerenciamento e outros correlatos-</v>
      </c>
      <c r="D47" s="13"/>
      <c r="E47" s="17" t="s">
        <v>81</v>
      </c>
      <c r="F47" s="17" t="s">
        <v>81</v>
      </c>
      <c r="G47" s="17" t="s">
        <v>81</v>
      </c>
      <c r="H47" s="13"/>
      <c r="I47" s="38" t="s">
        <v>106</v>
      </c>
      <c r="J47" s="383" t="s">
        <v>122</v>
      </c>
      <c r="K47" s="383"/>
      <c r="L47" s="383"/>
      <c r="M47" s="37"/>
      <c r="N47" s="37"/>
      <c r="O47" s="38" t="s">
        <v>106</v>
      </c>
      <c r="P47" s="385" t="s">
        <v>127</v>
      </c>
      <c r="Q47" s="385"/>
      <c r="R47" s="385"/>
      <c r="S47" s="13"/>
    </row>
    <row r="48" spans="1:19" ht="14.25" x14ac:dyDescent="0.2">
      <c r="A48" s="13" t="str">
        <f>A47</f>
        <v>Estudos e Projetos, Planos e Gerenciamento e outros correlatos</v>
      </c>
      <c r="B48" s="16" t="s">
        <v>107</v>
      </c>
      <c r="C48" s="13" t="str">
        <f t="shared" si="0"/>
        <v>Estudos e Projetos, Planos e Gerenciamento e outros correlatos-K3</v>
      </c>
      <c r="D48" s="13"/>
      <c r="E48" s="17" t="s">
        <v>81</v>
      </c>
      <c r="F48" s="17">
        <v>0.12</v>
      </c>
      <c r="G48" s="17" t="s">
        <v>81</v>
      </c>
      <c r="H48" s="13"/>
      <c r="I48" s="38" t="s">
        <v>108</v>
      </c>
      <c r="J48" s="383" t="s">
        <v>123</v>
      </c>
      <c r="K48" s="383"/>
      <c r="L48" s="383"/>
      <c r="M48" s="37"/>
      <c r="N48" s="37"/>
      <c r="O48" s="38" t="s">
        <v>109</v>
      </c>
      <c r="P48" s="385" t="s">
        <v>128</v>
      </c>
      <c r="Q48" s="385"/>
      <c r="R48" s="385"/>
      <c r="S48" s="13"/>
    </row>
    <row r="49" spans="1:19" ht="14.25" x14ac:dyDescent="0.2">
      <c r="A49" s="13" t="str">
        <f>A48</f>
        <v>Estudos e Projetos, Planos e Gerenciamento e outros correlatos</v>
      </c>
      <c r="B49" s="20" t="s">
        <v>66</v>
      </c>
      <c r="C49" s="13" t="str">
        <f t="shared" si="0"/>
        <v>Estudos e Projetos, Planos e Gerenciamento e outros correlatos-BDI PAD</v>
      </c>
      <c r="D49" s="13"/>
      <c r="E49" s="17" t="s">
        <v>81</v>
      </c>
      <c r="F49" s="17" t="s">
        <v>81</v>
      </c>
      <c r="G49" s="17" t="s">
        <v>81</v>
      </c>
      <c r="H49" s="13"/>
      <c r="I49" s="38" t="str">
        <f>[1]DADOS!A56</f>
        <v>CREA/CAU:</v>
      </c>
      <c r="J49" s="383" t="s">
        <v>124</v>
      </c>
      <c r="K49" s="383"/>
      <c r="L49" s="383"/>
      <c r="M49" s="37"/>
      <c r="N49" s="37"/>
      <c r="O49" s="37"/>
      <c r="P49" s="37"/>
      <c r="Q49" s="37"/>
      <c r="R49" s="37"/>
      <c r="S49" s="13"/>
    </row>
    <row r="50" spans="1:19" x14ac:dyDescent="0.2">
      <c r="A50" s="13"/>
      <c r="B50" s="13"/>
      <c r="C50" s="13"/>
      <c r="D50" s="13"/>
      <c r="E50" s="13"/>
      <c r="F50" s="13"/>
      <c r="G50" s="13"/>
      <c r="H50" s="13"/>
      <c r="I50" s="38" t="str">
        <f>[1]DADOS!A57</f>
        <v>ART/RRT:</v>
      </c>
      <c r="J50" s="383"/>
      <c r="K50" s="383"/>
      <c r="L50" s="383"/>
      <c r="M50" s="13"/>
      <c r="N50" s="13"/>
      <c r="O50" s="13"/>
      <c r="P50" s="13"/>
      <c r="Q50" s="13"/>
      <c r="R50" s="13"/>
      <c r="S50" s="13"/>
    </row>
    <row r="51" spans="1:19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</row>
  </sheetData>
  <mergeCells count="54">
    <mergeCell ref="I8:R8"/>
    <mergeCell ref="I4:J4"/>
    <mergeCell ref="K4:R4"/>
    <mergeCell ref="I5:J5"/>
    <mergeCell ref="K5:R5"/>
    <mergeCell ref="I7:R7"/>
    <mergeCell ref="I10:P10"/>
    <mergeCell ref="Q10:R10"/>
    <mergeCell ref="I11:P11"/>
    <mergeCell ref="Q11:R11"/>
    <mergeCell ref="I13:P13"/>
    <mergeCell ref="Q13:R13"/>
    <mergeCell ref="I14:P14"/>
    <mergeCell ref="Q14:R14"/>
    <mergeCell ref="I16:L17"/>
    <mergeCell ref="M16:M17"/>
    <mergeCell ref="N16:N17"/>
    <mergeCell ref="O16:O17"/>
    <mergeCell ref="P16:P17"/>
    <mergeCell ref="Q16:Q17"/>
    <mergeCell ref="R16:R17"/>
    <mergeCell ref="J29:R29"/>
    <mergeCell ref="I18:L18"/>
    <mergeCell ref="I19:L19"/>
    <mergeCell ref="I20:L20"/>
    <mergeCell ref="I21:L21"/>
    <mergeCell ref="I22:L22"/>
    <mergeCell ref="I23:L23"/>
    <mergeCell ref="I24:L24"/>
    <mergeCell ref="I25:L25"/>
    <mergeCell ref="I26:L26"/>
    <mergeCell ref="I27:L27"/>
    <mergeCell ref="P27:R27"/>
    <mergeCell ref="I45:L45"/>
    <mergeCell ref="O45:R45"/>
    <mergeCell ref="I31:R31"/>
    <mergeCell ref="L32:L33"/>
    <mergeCell ref="M32:O32"/>
    <mergeCell ref="P32:P33"/>
    <mergeCell ref="M33:O33"/>
    <mergeCell ref="I35:R35"/>
    <mergeCell ref="I37:R37"/>
    <mergeCell ref="I40:R40"/>
    <mergeCell ref="I42:L42"/>
    <mergeCell ref="O42:R42"/>
    <mergeCell ref="I43:L43"/>
    <mergeCell ref="J49:L49"/>
    <mergeCell ref="J50:L50"/>
    <mergeCell ref="I46:L46"/>
    <mergeCell ref="O46:R46"/>
    <mergeCell ref="J47:L47"/>
    <mergeCell ref="P47:R47"/>
    <mergeCell ref="J48:L48"/>
    <mergeCell ref="P48:R48"/>
  </mergeCells>
  <conditionalFormatting sqref="I26:N26">
    <cfRule type="expression" dxfId="8" priority="7" stopIfTrue="1">
      <formula>$Q$11="Não"</formula>
    </cfRule>
  </conditionalFormatting>
  <conditionalFormatting sqref="I27:N27">
    <cfRule type="expression" dxfId="7" priority="6" stopIfTrue="1">
      <formula>$Q$11="sim"</formula>
    </cfRule>
  </conditionalFormatting>
  <conditionalFormatting sqref="I29:R29">
    <cfRule type="expression" dxfId="6" priority="2" stopIfTrue="1">
      <formula>AND(NOT($V$27),NOT($V$29))</formula>
    </cfRule>
  </conditionalFormatting>
  <conditionalFormatting sqref="O18:O27">
    <cfRule type="expression" dxfId="5" priority="8" stopIfTrue="1">
      <formula>AND(O18&lt;&gt;"OK",O18&lt;&gt;"-",O18&lt;&gt;"")</formula>
    </cfRule>
    <cfRule type="cellIs" dxfId="4" priority="9" stopIfTrue="1" operator="equal">
      <formula>"OK"</formula>
    </cfRule>
  </conditionalFormatting>
  <conditionalFormatting sqref="O42">
    <cfRule type="expression" dxfId="3" priority="3" stopIfTrue="1">
      <formula>$O$42=""</formula>
    </cfRule>
  </conditionalFormatting>
  <conditionalFormatting sqref="P18:R26">
    <cfRule type="expression" dxfId="2" priority="1" stopIfTrue="1">
      <formula>$I$11=$A$58</formula>
    </cfRule>
  </conditionalFormatting>
  <conditionalFormatting sqref="P27:R27">
    <cfRule type="expression" dxfId="1" priority="5" stopIfTrue="1">
      <formula>$Q$11="sim"</formula>
    </cfRule>
  </conditionalFormatting>
  <conditionalFormatting sqref="P47:R48">
    <cfRule type="expression" dxfId="0" priority="4" stopIfTrue="1">
      <formula>P47=""</formula>
    </cfRule>
  </conditionalFormatting>
  <dataValidations count="6">
    <dataValidation type="decimal" allowBlank="1" showInputMessage="1" showErrorMessage="1" errorTitle="Erro de valores" error="Digite um valor entre 0% e 100%" sqref="N18:N23" xr:uid="{00000000-0002-0000-0200-000000000000}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promptTitle="Valores comuns:" prompt="Normalmente entre 2 e 5%." sqref="Q14:R14" xr:uid="{00000000-0002-0000-0200-000001000000}">
      <formula1>0</formula1>
    </dataValidation>
    <dataValidation type="decimal" allowBlank="1" showInputMessage="1" showErrorMessage="1" errorTitle="Valor não permitido" error="Digite um percentual entre 0% e 100%." promptTitle="Valores admissíveis:" prompt="Insira valores entre 0 e 100%." sqref="Q13:R13" xr:uid="{00000000-0002-0000-0200-000002000000}">
      <formula1>0</formula1>
      <formula2>1</formula2>
    </dataValidation>
    <dataValidation type="decimal" allowBlank="1" showInputMessage="1" showErrorMessage="1" errorTitle="Erro de valores" error="Digite um valor maior do que 0." sqref="N24" xr:uid="{00000000-0002-0000-0200-000003000000}">
      <formula1>0</formula1>
      <formula2>1</formula2>
    </dataValidation>
    <dataValidation operator="greaterThanOrEqual" allowBlank="1" showInputMessage="1" showErrorMessage="1" errorTitle="Erro de valores" error="Digite um valor igual a 0% ou 2%." sqref="N25" xr:uid="{00000000-0002-0000-0200-000004000000}"/>
    <dataValidation type="list" allowBlank="1" showInputMessage="1" showErrorMessage="1" sqref="I11:P11" xr:uid="{00000000-0002-0000-0200-000005000000}">
      <formula1>$A$52:$A$59</formula1>
    </dataValidation>
  </dataValidations>
  <pageMargins left="0.511811024" right="0.511811024" top="0.78740157499999996" bottom="0.78740157499999996" header="0.31496062000000002" footer="0.31496062000000002"/>
  <pageSetup paperSize="9" scale="86" fitToHeight="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62AA9-A01C-4788-9654-756AAB6A33FF}">
  <dimension ref="J6:K39"/>
  <sheetViews>
    <sheetView topLeftCell="A20" workbookViewId="0">
      <selection activeCell="Q43" sqref="Q43"/>
    </sheetView>
  </sheetViews>
  <sheetFormatPr defaultRowHeight="12.75" x14ac:dyDescent="0.2"/>
  <sheetData>
    <row r="6" spans="10:10" x14ac:dyDescent="0.2">
      <c r="J6" t="s">
        <v>162</v>
      </c>
    </row>
    <row r="24" spans="11:11" x14ac:dyDescent="0.2">
      <c r="K24" t="s">
        <v>163</v>
      </c>
    </row>
    <row r="39" spans="11:11" x14ac:dyDescent="0.2">
      <c r="K39" t="s">
        <v>164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PLANILHA</vt:lpstr>
      <vt:lpstr>CRONOGRAMA</vt:lpstr>
      <vt:lpstr>COMPOSIÇÃO BDI</vt:lpstr>
      <vt:lpstr>COMPOSIÇÃO CABO DE ALUMÍNIO</vt:lpstr>
      <vt:lpstr>PLANILHA!Area_de_impressao</vt:lpstr>
      <vt:lpstr>PLANILHA!Titulos_de_impressao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Felipe Barcelos</cp:lastModifiedBy>
  <cp:lastPrinted>2025-11-26T17:14:05Z</cp:lastPrinted>
  <dcterms:created xsi:type="dcterms:W3CDTF">2006-09-22T13:55:22Z</dcterms:created>
  <dcterms:modified xsi:type="dcterms:W3CDTF">2025-11-26T18:35:34Z</dcterms:modified>
</cp:coreProperties>
</file>